
<file path=[Content_Types].xml><?xml version="1.0" encoding="utf-8"?>
<Types xmlns="http://schemas.openxmlformats.org/package/2006/content-type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filterPrivacy="1" codeName="Questa_cartella_di_lavoro" defaultThemeVersion="124226"/>
  <workbookProtection workbookAlgorithmName="SHA-512" workbookHashValue="Gn+UZw5ZsexaxfRH5aYa0uvRetkgRpR8WqFyZFXlQ3lQdOi+ugr+nTbQ2/5LSb+Wx15Z3FzffVQERNmbTaTIuw==" workbookSaltValue="t+/S9XDaZUFOzgb4Le/Img==" workbookSpinCount="100000" lockStructure="1"/>
  <bookViews>
    <workbookView xWindow="240" yWindow="105" windowWidth="14805" windowHeight="8010"/>
  </bookViews>
  <sheets>
    <sheet name="DEMCOPEM system tool" sheetId="1" r:id="rId1"/>
    <sheet name="Calculator" sheetId="2" state="hidden" r:id="rId2"/>
  </sheets>
  <definedNames>
    <definedName name="BalCool">Calculator!$I$60</definedName>
    <definedName name="BalMix">Calculator!$I$58</definedName>
    <definedName name="Fwater">Calculator!$C$49</definedName>
    <definedName name="MixInT">Calculator!$D$40</definedName>
    <definedName name="solver_adj" localSheetId="1" hidden="1">Calculator!$D$40,Calculator!$C$49</definedName>
    <definedName name="solver_adj" localSheetId="0" hidden="1">'DEMCOPEM system tool'!$D$37,'DEMCOPEM system tool'!$C$47</definedName>
    <definedName name="solver_eng" localSheetId="1" hidden="1">1</definedName>
    <definedName name="solver_eng" localSheetId="0" hidden="1">1</definedName>
    <definedName name="solver_lhs1" localSheetId="1" hidden="1">Calculator!$I$58</definedName>
    <definedName name="solver_lhs1" localSheetId="0" hidden="1">'DEMCOPEM system tool'!$I$56</definedName>
    <definedName name="solver_neg" localSheetId="1" hidden="1">1</definedName>
    <definedName name="solver_neg" localSheetId="0" hidden="1">1</definedName>
    <definedName name="solver_num" localSheetId="1" hidden="1">1</definedName>
    <definedName name="solver_num" localSheetId="0" hidden="1">1</definedName>
    <definedName name="solver_opt" localSheetId="1" hidden="1">Calculator!$I$60</definedName>
    <definedName name="solver_opt" localSheetId="0" hidden="1">'DEMCOPEM system tool'!$I$58</definedName>
    <definedName name="solver_rel1" localSheetId="1" hidden="1">2</definedName>
    <definedName name="solver_rel1" localSheetId="0" hidden="1">2</definedName>
    <definedName name="solver_rhs1" localSheetId="1" hidden="1">0</definedName>
    <definedName name="solver_rhs1" localSheetId="0" hidden="1">0</definedName>
    <definedName name="solver_typ" localSheetId="1" hidden="1">3</definedName>
    <definedName name="solver_typ" localSheetId="0" hidden="1">3</definedName>
    <definedName name="solver_val" localSheetId="1" hidden="1">0</definedName>
    <definedName name="solver_val" localSheetId="0" hidden="1">0</definedName>
    <definedName name="solver_ver" localSheetId="1" hidden="1">3</definedName>
    <definedName name="solver_ver" localSheetId="0" hidden="1">3</definedName>
  </definedNames>
  <calcPr calcId="171027"/>
</workbook>
</file>

<file path=xl/calcChain.xml><?xml version="1.0" encoding="utf-8"?>
<calcChain xmlns="http://schemas.openxmlformats.org/spreadsheetml/2006/main">
  <c r="F3" i="2" l="1"/>
  <c r="U41" i="2"/>
  <c r="U46" i="2"/>
  <c r="X41" i="2"/>
  <c r="X46" i="2"/>
  <c r="W41" i="2"/>
  <c r="W46" i="2"/>
  <c r="V53" i="2"/>
  <c r="F53" i="2" s="1"/>
  <c r="V54" i="2"/>
  <c r="F54" i="2" s="1"/>
  <c r="V41" i="2"/>
  <c r="V46" i="2"/>
  <c r="S38" i="2" l="1"/>
  <c r="J6" i="2" l="1"/>
  <c r="E51" i="2"/>
  <c r="E52" i="2" s="1"/>
  <c r="E53" i="2" s="1"/>
  <c r="E54" i="2" s="1"/>
  <c r="E45" i="2"/>
  <c r="C25" i="2" s="1"/>
  <c r="E42" i="2"/>
  <c r="C23" i="2" s="1"/>
  <c r="E39" i="2"/>
  <c r="E47" i="2"/>
  <c r="E48" i="2" s="1"/>
  <c r="J3" i="2" l="1"/>
  <c r="J4" i="2" s="1"/>
  <c r="D48" i="2"/>
  <c r="R60" i="2" s="1"/>
  <c r="V48" i="2" l="1"/>
  <c r="W48" i="2"/>
  <c r="U48" i="2"/>
  <c r="X48" i="2"/>
  <c r="D49" i="2"/>
  <c r="D50" i="2" l="1"/>
  <c r="V50" i="2" s="1"/>
  <c r="F50" i="2" s="1"/>
  <c r="V49" i="2"/>
  <c r="F49" i="2" s="1"/>
  <c r="F11" i="2"/>
  <c r="T49" i="2" l="1"/>
  <c r="D42" i="2"/>
  <c r="R58" i="2" s="1"/>
  <c r="D47" i="2"/>
  <c r="R59" i="2" s="1"/>
  <c r="E38" i="2"/>
  <c r="C21" i="2" s="1"/>
  <c r="D38" i="2"/>
  <c r="D39" i="2" s="1"/>
  <c r="T41" i="2"/>
  <c r="T46" i="2"/>
  <c r="T53" i="2"/>
  <c r="T54" i="2"/>
  <c r="T39" i="2" l="1"/>
  <c r="N39" i="2"/>
  <c r="R62" i="2"/>
  <c r="R63" i="2"/>
  <c r="X38" i="2"/>
  <c r="V38" i="2"/>
  <c r="W38" i="2"/>
  <c r="U38" i="2"/>
  <c r="X42" i="2"/>
  <c r="U42" i="2"/>
  <c r="V42" i="2"/>
  <c r="W42" i="2"/>
  <c r="D43" i="2"/>
  <c r="T47" i="2"/>
  <c r="V47" i="2"/>
  <c r="W47" i="2"/>
  <c r="U47" i="2"/>
  <c r="X47" i="2"/>
  <c r="S50" i="2"/>
  <c r="T50" i="2"/>
  <c r="T38" i="2"/>
  <c r="N38" i="2"/>
  <c r="S51" i="2"/>
  <c r="T42" i="2"/>
  <c r="S49" i="2"/>
  <c r="D44" i="2"/>
  <c r="S53" i="2"/>
  <c r="S54" i="2"/>
  <c r="S52" i="2"/>
  <c r="F38" i="2" l="1"/>
  <c r="D45" i="2"/>
  <c r="U44" i="2"/>
  <c r="X44" i="2"/>
  <c r="V44" i="2"/>
  <c r="W44" i="2"/>
  <c r="U43" i="2"/>
  <c r="X43" i="2"/>
  <c r="V43" i="2"/>
  <c r="W43" i="2"/>
  <c r="T43" i="2"/>
  <c r="E43" i="2"/>
  <c r="E40" i="2" s="1"/>
  <c r="T44" i="2"/>
  <c r="T48" i="2"/>
  <c r="T45" i="2" l="1"/>
  <c r="U45" i="2"/>
  <c r="W45" i="2"/>
  <c r="X45" i="2"/>
  <c r="V45" i="2"/>
  <c r="N41" i="2"/>
  <c r="J41" i="2" s="1"/>
  <c r="I41" i="2" s="1"/>
  <c r="F41" i="2" s="1"/>
  <c r="N42" i="2" l="1"/>
  <c r="S41" i="2"/>
  <c r="N43" i="2" l="1"/>
  <c r="N44" i="2" l="1"/>
  <c r="J44" i="2" s="1"/>
  <c r="N45" i="2" l="1"/>
  <c r="J45" i="2" s="1"/>
  <c r="K44" i="2"/>
  <c r="L44" i="2"/>
  <c r="F44" i="2" l="1"/>
  <c r="S44" i="2"/>
  <c r="N46" i="2"/>
  <c r="J46" i="2" s="1"/>
  <c r="L45" i="2"/>
  <c r="K45" i="2"/>
  <c r="F45" i="2" l="1"/>
  <c r="N47" i="2"/>
  <c r="N48" i="2"/>
  <c r="J48" i="2" s="1"/>
  <c r="S45" i="2"/>
  <c r="K46" i="2"/>
  <c r="F46" i="2" s="1"/>
  <c r="L46" i="2"/>
  <c r="S46" i="2" l="1"/>
  <c r="E49" i="2" l="1"/>
  <c r="J8" i="2" l="1"/>
  <c r="J10" i="2" s="1"/>
  <c r="F10" i="2"/>
  <c r="F9" i="2"/>
  <c r="B11" i="2" s="1"/>
  <c r="B12" i="2" s="1"/>
  <c r="J9" i="2" s="1"/>
  <c r="J11" i="2" l="1"/>
  <c r="L10" i="2"/>
  <c r="I22" i="2" l="1"/>
  <c r="J12" i="2"/>
  <c r="B14" i="2" s="1"/>
  <c r="B15" i="2" s="1"/>
  <c r="B16" i="2" s="1"/>
  <c r="B17" i="2" s="1"/>
  <c r="I28" i="2" l="1"/>
  <c r="I21" i="2"/>
  <c r="J14" i="2"/>
  <c r="J15" i="2" s="1"/>
  <c r="B21" i="1" s="1"/>
  <c r="I22" i="1"/>
  <c r="I23" i="1" l="1"/>
  <c r="A24" i="1"/>
  <c r="I24" i="2"/>
  <c r="B23" i="1" s="1"/>
  <c r="O38" i="2"/>
  <c r="O39" i="2" l="1"/>
  <c r="O40" i="2"/>
  <c r="O41" i="2" s="1"/>
  <c r="P41" i="2" s="1"/>
  <c r="C41" i="2" s="1"/>
  <c r="F59" i="2" s="1"/>
  <c r="P38" i="2"/>
  <c r="R44" i="2"/>
  <c r="Q44" i="2" s="1"/>
  <c r="Q45" i="2" s="1"/>
  <c r="Q46" i="2" s="1"/>
  <c r="Q47" i="2" s="1"/>
  <c r="Q48" i="2" s="1"/>
  <c r="O42" i="2" l="1"/>
  <c r="O43" i="2" s="1"/>
  <c r="C38" i="2"/>
  <c r="C22" i="2" s="1"/>
  <c r="P39" i="2"/>
  <c r="R45" i="2"/>
  <c r="R46" i="2" s="1"/>
  <c r="R47" i="2" s="1"/>
  <c r="R48" i="2" s="1"/>
  <c r="P48" i="2" s="1"/>
  <c r="P46" i="2"/>
  <c r="P44" i="2"/>
  <c r="P45" i="2" s="1"/>
  <c r="P58" i="2" l="1"/>
  <c r="P42" i="2"/>
  <c r="C42" i="2" s="1"/>
  <c r="C24" i="2" s="1"/>
  <c r="O22" i="2" s="1"/>
  <c r="C45" i="2"/>
  <c r="C44" i="2"/>
  <c r="C26" i="2" s="1"/>
  <c r="P47" i="2"/>
  <c r="L47" i="2" s="1"/>
  <c r="P63" i="2"/>
  <c r="P59" i="2"/>
  <c r="C46" i="2"/>
  <c r="C48" i="2"/>
  <c r="L48" i="2"/>
  <c r="K48" i="2"/>
  <c r="J42" i="2" l="1"/>
  <c r="I42" i="2"/>
  <c r="P43" i="2"/>
  <c r="C43" i="2" s="1"/>
  <c r="J47" i="2"/>
  <c r="K47" i="2"/>
  <c r="P60" i="2"/>
  <c r="F48" i="2"/>
  <c r="C47" i="2"/>
  <c r="S48" i="2"/>
  <c r="F42" i="2" l="1"/>
  <c r="I43" i="2"/>
  <c r="S42" i="2"/>
  <c r="P40" i="2"/>
  <c r="J43" i="2"/>
  <c r="F47" i="2"/>
  <c r="S47" i="2"/>
  <c r="B63" i="2"/>
  <c r="C39" i="2"/>
  <c r="J39" i="2"/>
  <c r="I39" i="2"/>
  <c r="P62" i="2"/>
  <c r="C49" i="2" l="1"/>
  <c r="C50" i="2" s="1"/>
  <c r="C51" i="2" s="1"/>
  <c r="C52" i="2" s="1"/>
  <c r="C53" i="2" s="1"/>
  <c r="S43" i="2"/>
  <c r="F43" i="2"/>
  <c r="J40" i="2"/>
  <c r="I40" i="2"/>
  <c r="C40" i="2"/>
  <c r="O25" i="2"/>
  <c r="C27" i="2"/>
  <c r="C54" i="2"/>
  <c r="F60" i="2" s="1"/>
  <c r="D60" i="2"/>
  <c r="P65" i="2"/>
  <c r="B20" i="1" s="1"/>
  <c r="B62" i="2"/>
  <c r="S39" i="2"/>
  <c r="S40" i="2" l="1"/>
  <c r="X39" i="2"/>
  <c r="V39" i="2"/>
  <c r="W39" i="2"/>
  <c r="U39" i="2"/>
  <c r="F39" i="2" s="1"/>
  <c r="D58" i="2" s="1"/>
  <c r="F40" i="2" s="1"/>
  <c r="D40" i="2" s="1"/>
  <c r="T40" i="2" s="1"/>
  <c r="I60" i="2"/>
  <c r="X40" i="2" l="1"/>
  <c r="V40" i="2"/>
  <c r="W40" i="2"/>
  <c r="N40" i="2"/>
  <c r="U40" i="2"/>
  <c r="F58" i="2"/>
  <c r="I58" i="2" s="1"/>
  <c r="D59" i="2"/>
  <c r="I59" i="2" s="1"/>
  <c r="C28" i="2" s="1"/>
  <c r="C30" i="2" s="1"/>
  <c r="B17" i="1" s="1"/>
  <c r="B18" i="1" s="1"/>
  <c r="I18" i="1" l="1"/>
  <c r="D51" i="2"/>
  <c r="V51" i="2" s="1"/>
  <c r="F51" i="2" s="1"/>
  <c r="O23" i="2"/>
  <c r="I21" i="1"/>
  <c r="F17" i="1"/>
  <c r="I17" i="1" l="1"/>
  <c r="D52" i="2"/>
  <c r="A19" i="1" s="1"/>
  <c r="T51" i="2"/>
  <c r="B19" i="1" l="1"/>
  <c r="I19" i="1" s="1"/>
  <c r="I20" i="1" s="1"/>
  <c r="V52" i="2"/>
  <c r="F52" i="2" s="1"/>
  <c r="O24" i="2" s="1"/>
  <c r="O26" i="2" s="1"/>
  <c r="B22" i="1" s="1"/>
  <c r="T52" i="2"/>
  <c r="F18" i="1" l="1"/>
  <c r="F19" i="1" s="1"/>
</calcChain>
</file>

<file path=xl/sharedStrings.xml><?xml version="1.0" encoding="utf-8"?>
<sst xmlns="http://schemas.openxmlformats.org/spreadsheetml/2006/main" count="260" uniqueCount="178">
  <si>
    <r>
      <t>Nm</t>
    </r>
    <r>
      <rPr>
        <vertAlign val="superscript"/>
        <sz val="11"/>
        <color theme="1"/>
        <rFont val="Calibri"/>
        <family val="2"/>
        <scheme val="minor"/>
      </rPr>
      <t>3</t>
    </r>
    <r>
      <rPr>
        <sz val="11"/>
        <color theme="1"/>
        <rFont val="Calibri"/>
        <family val="2"/>
        <scheme val="minor"/>
      </rPr>
      <t>/h</t>
    </r>
  </si>
  <si>
    <t>Water production</t>
  </si>
  <si>
    <t>PEM fuel cell</t>
  </si>
  <si>
    <t>BOP</t>
  </si>
  <si>
    <t>Footprint</t>
  </si>
  <si>
    <t>Preliminary sizing</t>
  </si>
  <si>
    <t>Utilities available</t>
  </si>
  <si>
    <t>Cooling water</t>
  </si>
  <si>
    <t>°C</t>
  </si>
  <si>
    <t>kg/s</t>
  </si>
  <si>
    <t>kg/h</t>
  </si>
  <si>
    <r>
      <t>m</t>
    </r>
    <r>
      <rPr>
        <vertAlign val="superscript"/>
        <sz val="11"/>
        <color theme="1"/>
        <rFont val="Calibri"/>
        <family val="2"/>
        <scheme val="minor"/>
      </rPr>
      <t>2</t>
    </r>
  </si>
  <si>
    <t>Mass and energy balance</t>
  </si>
  <si>
    <t>Wasted heat</t>
  </si>
  <si>
    <t>DC/AC losses</t>
  </si>
  <si>
    <t>Electric efficiency</t>
  </si>
  <si>
    <t>Thermal efficiency</t>
  </si>
  <si>
    <t>Politecnico di Milano - Department of Energy - GECOS Group</t>
  </si>
  <si>
    <t>Recovered heat</t>
  </si>
  <si>
    <t>BOP consumption</t>
  </si>
  <si>
    <t>Mass flow</t>
  </si>
  <si>
    <t>T</t>
  </si>
  <si>
    <t>p</t>
  </si>
  <si>
    <t>h</t>
  </si>
  <si>
    <t>kJ/kg</t>
  </si>
  <si>
    <r>
      <t>bar</t>
    </r>
    <r>
      <rPr>
        <i/>
        <vertAlign val="subscript"/>
        <sz val="11"/>
        <color theme="1"/>
        <rFont val="Calibri"/>
        <family val="2"/>
        <scheme val="minor"/>
      </rPr>
      <t>g</t>
    </r>
  </si>
  <si>
    <t>PES</t>
  </si>
  <si>
    <t>Hydrogen flow</t>
  </si>
  <si>
    <t>kW</t>
  </si>
  <si>
    <r>
      <t>kW</t>
    </r>
    <r>
      <rPr>
        <vertAlign val="subscript"/>
        <sz val="11"/>
        <color theme="1"/>
        <rFont val="Calibri"/>
        <family val="2"/>
        <scheme val="minor"/>
      </rPr>
      <t>th</t>
    </r>
  </si>
  <si>
    <t>Environment temperature</t>
  </si>
  <si>
    <r>
      <t>kW</t>
    </r>
    <r>
      <rPr>
        <vertAlign val="subscript"/>
        <sz val="11"/>
        <color theme="1"/>
        <rFont val="Calibri"/>
        <family val="2"/>
        <scheme val="minor"/>
      </rPr>
      <t>el</t>
    </r>
  </si>
  <si>
    <t>Nominal current</t>
  </si>
  <si>
    <t>Stacks data</t>
  </si>
  <si>
    <t>Cells</t>
  </si>
  <si>
    <t>Coefficients</t>
  </si>
  <si>
    <t>A</t>
  </si>
  <si>
    <t>B</t>
  </si>
  <si>
    <t>Nominal voltage</t>
  </si>
  <si>
    <t>Nominal power</t>
  </si>
  <si>
    <t>W</t>
  </si>
  <si>
    <t>mV</t>
  </si>
  <si>
    <t>Nominal Sh</t>
  </si>
  <si>
    <t>Nominal So</t>
  </si>
  <si>
    <t xml:space="preserve">RHh </t>
  </si>
  <si>
    <t>RHo</t>
  </si>
  <si>
    <t>xH/xHref</t>
  </si>
  <si>
    <t>xO/xOref</t>
  </si>
  <si>
    <t>xv</t>
  </si>
  <si>
    <t>Nominal T</t>
  </si>
  <si>
    <t>bar</t>
  </si>
  <si>
    <t>Nominal pressure</t>
  </si>
  <si>
    <t>Nm3/h</t>
  </si>
  <si>
    <t>kmol/s</t>
  </si>
  <si>
    <t>Nstacks</t>
  </si>
  <si>
    <t>for H2</t>
  </si>
  <si>
    <t>C</t>
  </si>
  <si>
    <t>D</t>
  </si>
  <si>
    <t>Power req</t>
  </si>
  <si>
    <t>kWe</t>
  </si>
  <si>
    <t>for EE</t>
  </si>
  <si>
    <t>limiting</t>
  </si>
  <si>
    <t>Power requirement (net)</t>
  </si>
  <si>
    <t>Columns</t>
  </si>
  <si>
    <t>Final</t>
  </si>
  <si>
    <t xml:space="preserve">Max </t>
  </si>
  <si>
    <t>stacks per column</t>
  </si>
  <si>
    <t>stacks</t>
  </si>
  <si>
    <t>Actual current</t>
  </si>
  <si>
    <t>Actual voltage</t>
  </si>
  <si>
    <t>mol/s</t>
  </si>
  <si>
    <t>Gross power</t>
  </si>
  <si>
    <t>Actual stack power</t>
  </si>
  <si>
    <t>H2</t>
  </si>
  <si>
    <t>Hum H2</t>
  </si>
  <si>
    <t>Description</t>
  </si>
  <si>
    <t>Inlet H2</t>
  </si>
  <si>
    <t>O2</t>
  </si>
  <si>
    <t>N2</t>
  </si>
  <si>
    <t>H2O</t>
  </si>
  <si>
    <t>Hydrogen pressure</t>
  </si>
  <si>
    <t>mbar</t>
  </si>
  <si>
    <t>Compr H2</t>
  </si>
  <si>
    <t>Mix H2</t>
  </si>
  <si>
    <t>Anode Exhaust</t>
  </si>
  <si>
    <t>MM</t>
  </si>
  <si>
    <t>K</t>
  </si>
  <si>
    <t>Compr Exh.</t>
  </si>
  <si>
    <t>Air in</t>
  </si>
  <si>
    <t>Compr air</t>
  </si>
  <si>
    <t>Hum air</t>
  </si>
  <si>
    <t>Cathode exh</t>
  </si>
  <si>
    <t>Stack</t>
  </si>
  <si>
    <t>Pump outlet</t>
  </si>
  <si>
    <t>Heat recov out</t>
  </si>
  <si>
    <t>Water cell inlet</t>
  </si>
  <si>
    <t>Water cell outlet</t>
  </si>
  <si>
    <t>H2 compressor in</t>
  </si>
  <si>
    <t>Δp</t>
  </si>
  <si>
    <r>
      <t>mbar</t>
    </r>
    <r>
      <rPr>
        <vertAlign val="subscript"/>
        <sz val="11"/>
        <color theme="1"/>
        <rFont val="Calibri"/>
        <family val="2"/>
        <scheme val="minor"/>
      </rPr>
      <t>g</t>
    </r>
  </si>
  <si>
    <t>H2 compressor rec</t>
  </si>
  <si>
    <t>Composition (molar)</t>
  </si>
  <si>
    <t>kg/kmol</t>
  </si>
  <si>
    <r>
      <t>h</t>
    </r>
    <r>
      <rPr>
        <i/>
        <sz val="11"/>
        <color theme="1"/>
        <rFont val="Calibri"/>
        <family val="2"/>
        <scheme val="minor"/>
      </rPr>
      <t>[kJ/kmol]</t>
    </r>
  </si>
  <si>
    <t>Balances</t>
  </si>
  <si>
    <t>IN</t>
  </si>
  <si>
    <t>OUT</t>
  </si>
  <si>
    <t>Mix H2 in</t>
  </si>
  <si>
    <t>xsat</t>
  </si>
  <si>
    <t>Water out</t>
  </si>
  <si>
    <t>Str 5</t>
  </si>
  <si>
    <t>H2 hum</t>
  </si>
  <si>
    <t>Hum heater</t>
  </si>
  <si>
    <t>PEM</t>
  </si>
  <si>
    <t>hydrogen</t>
  </si>
  <si>
    <t>water</t>
  </si>
  <si>
    <t>nitrogen</t>
  </si>
  <si>
    <t>oxygen</t>
  </si>
  <si>
    <t>Qout</t>
  </si>
  <si>
    <t>Str10</t>
  </si>
  <si>
    <t>Cond</t>
  </si>
  <si>
    <t>F</t>
  </si>
  <si>
    <t>Mass check</t>
  </si>
  <si>
    <t>Water in</t>
  </si>
  <si>
    <t>C49</t>
  </si>
  <si>
    <t>system</t>
  </si>
  <si>
    <t>cell</t>
  </si>
  <si>
    <t>Net</t>
  </si>
  <si>
    <t>The author(s) and members of the consortium cannot be held legally responsible for any mistake in printing or faulty instructions. The authors and consortium members retrieve the right not to be responsible for the topicality, correctness, completeness or quality of the information provided. Liability claims regarding damage caused by the use of any information provided, including any kind of information that is incomplete or incorrect, will therefore be rejected. The information contained on this website is based on author’s experience and on information received from the project partners.</t>
  </si>
  <si>
    <t>D39</t>
  </si>
  <si>
    <t>H2 in max</t>
  </si>
  <si>
    <t>H2 in actual</t>
  </si>
  <si>
    <t>gross estimate</t>
  </si>
  <si>
    <t>Air compressor</t>
  </si>
  <si>
    <t>Pumps</t>
  </si>
  <si>
    <t>Actual hydrogen consumption</t>
  </si>
  <si>
    <t>Pressure losses</t>
  </si>
  <si>
    <t>Pipes H2</t>
  </si>
  <si>
    <t>Pipes air</t>
  </si>
  <si>
    <t>Water circuit</t>
  </si>
  <si>
    <t>Inverter</t>
  </si>
  <si>
    <t>η</t>
  </si>
  <si>
    <t>BOP total</t>
  </si>
  <si>
    <t>EE consumption</t>
  </si>
  <si>
    <t>Cell anode</t>
  </si>
  <si>
    <t>Cell cathode</t>
  </si>
  <si>
    <t>HX</t>
  </si>
  <si>
    <t>Pel</t>
  </si>
  <si>
    <t>Pel, hum</t>
  </si>
  <si>
    <t>Pel, cool</t>
  </si>
  <si>
    <t>m2</t>
  </si>
  <si>
    <t>Auxiliaries</t>
  </si>
  <si>
    <t>Stacks</t>
  </si>
  <si>
    <t>Indicative plant footprint</t>
  </si>
  <si>
    <t>Other aux</t>
  </si>
  <si>
    <t>Control system</t>
  </si>
  <si>
    <t>Conditioning</t>
  </si>
  <si>
    <t>Cooling duties</t>
  </si>
  <si>
    <t>H2 compr</t>
  </si>
  <si>
    <t>T control</t>
  </si>
  <si>
    <t>H2 input</t>
  </si>
  <si>
    <t>Cooling power required</t>
  </si>
  <si>
    <t>Energy balance</t>
  </si>
  <si>
    <t>Reference efficiency (PES)</t>
  </si>
  <si>
    <t>Heat requirement (max 63°C)</t>
  </si>
  <si>
    <t>www.gecos.polimi.it</t>
  </si>
  <si>
    <t>www.demcopem-2mw.eu</t>
  </si>
  <si>
    <t>Separate electicity production</t>
  </si>
  <si>
    <t>Separate thermal production</t>
  </si>
  <si>
    <t>Power sizing criteria</t>
  </si>
  <si>
    <t>WARNING: Energy balances are performed by means of simplified correlations for thermodynamic properties</t>
  </si>
  <si>
    <t/>
  </si>
  <si>
    <t>Plant performances</t>
  </si>
  <si>
    <t>Total power production</t>
  </si>
  <si>
    <t>El. power, site consumption</t>
  </si>
  <si>
    <t>El. power, exported to grid</t>
  </si>
  <si>
    <t>Electric power export to grid</t>
  </si>
  <si>
    <t>Site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</si>
</sst>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
    <numFmt numFmtId="166" formatCode="0.0%"/>
    <numFmt numFmtId="167"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3"/>
      <name val="Calibri"/>
      <family val="2"/>
      <scheme val="minor"/>
    </font>
    <font>
      <b/>
      <i/>
      <sz val="11"/>
      <color theme="1"/>
      <name val="Calibri"/>
      <family val="2"/>
      <scheme val="minor"/>
    </font>
    <font>
      <b/>
      <i/>
      <sz val="11"/>
      <color rgb="FFC00000"/>
      <name val="Calibri"/>
      <family val="2"/>
      <scheme val="minor"/>
    </font>
    <font>
      <vertAlign val="subscript"/>
      <sz val="11"/>
      <color theme="1"/>
      <name val="Calibri"/>
      <family val="2"/>
      <scheme val="minor"/>
    </font>
    <font>
      <i/>
      <sz val="11"/>
      <color theme="1"/>
      <name val="Calibri"/>
      <family val="2"/>
      <scheme val="minor"/>
    </font>
    <font>
      <u/>
      <sz val="11"/>
      <color theme="10"/>
      <name val="Calibri"/>
      <family val="2"/>
      <scheme val="minor"/>
    </font>
    <font>
      <b/>
      <i/>
      <sz val="10"/>
      <color theme="1"/>
      <name val="Calibri"/>
      <family val="2"/>
      <scheme val="minor"/>
    </font>
    <font>
      <i/>
      <vertAlign val="subscript"/>
      <sz val="11"/>
      <color theme="1"/>
      <name val="Calibri"/>
      <family val="2"/>
      <scheme val="minor"/>
    </font>
    <font>
      <b/>
      <i/>
      <sz val="11"/>
      <color theme="6" tint="-0.499984740745262"/>
      <name val="Calibri"/>
      <family val="2"/>
      <scheme val="minor"/>
    </font>
    <font>
      <sz val="11"/>
      <color theme="3"/>
      <name val="Calibri"/>
      <family val="2"/>
      <scheme val="minor"/>
    </font>
    <font>
      <sz val="11"/>
      <color rgb="FFC00000"/>
      <name val="Calibri"/>
      <family val="2"/>
      <scheme val="minor"/>
    </font>
    <font>
      <sz val="10"/>
      <color theme="1"/>
      <name val="Calibri"/>
      <family val="2"/>
      <scheme val="minor"/>
    </font>
    <font>
      <sz val="11"/>
      <name val="Calibri"/>
      <family val="2"/>
      <scheme val="minor"/>
    </font>
    <font>
      <i/>
      <sz val="11"/>
      <color rgb="FFC00000"/>
      <name val="Calibri"/>
      <family val="2"/>
      <scheme val="minor"/>
    </font>
    <font>
      <sz val="11"/>
      <color theme="1"/>
      <name val="Calibri"/>
      <family val="2"/>
    </font>
    <font>
      <i/>
      <sz val="9"/>
      <color theme="1"/>
      <name val="Calibri"/>
      <family val="2"/>
      <scheme val="minor"/>
    </font>
    <font>
      <b/>
      <i/>
      <sz val="11"/>
      <color rgb="FFFF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rgb="FFFF5050"/>
        <bgColor indexed="64"/>
      </patternFill>
    </fill>
    <fill>
      <patternFill patternType="solid">
        <fgColor theme="4" tint="0.59999389629810485"/>
        <bgColor indexed="64"/>
      </patternFill>
    </fill>
    <fill>
      <patternFill patternType="solid">
        <fgColor theme="9" tint="-0.249977111117893"/>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132">
    <xf numFmtId="0" fontId="0" fillId="0" borderId="0" xfId="0"/>
    <xf numFmtId="0" fontId="8" fillId="0" borderId="0" xfId="0" applyFont="1"/>
    <xf numFmtId="0" fontId="5" fillId="0" borderId="0" xfId="0" applyFont="1"/>
    <xf numFmtId="0" fontId="0" fillId="5" borderId="0" xfId="0" applyFill="1"/>
    <xf numFmtId="0" fontId="5" fillId="6" borderId="0" xfId="0" applyFont="1" applyFill="1"/>
    <xf numFmtId="0" fontId="0" fillId="6" borderId="0" xfId="0" applyFill="1"/>
    <xf numFmtId="9" fontId="0" fillId="5" borderId="0" xfId="0" applyNumberFormat="1" applyFill="1"/>
    <xf numFmtId="2" fontId="0" fillId="0" borderId="0" xfId="0" applyNumberFormat="1"/>
    <xf numFmtId="0" fontId="8" fillId="4" borderId="0" xfId="0" applyFont="1" applyFill="1"/>
    <xf numFmtId="0" fontId="0" fillId="4" borderId="0" xfId="0" applyFill="1"/>
    <xf numFmtId="0" fontId="13" fillId="7" borderId="0" xfId="0" applyFont="1" applyFill="1"/>
    <xf numFmtId="0" fontId="14" fillId="0" borderId="0" xfId="0" applyFont="1"/>
    <xf numFmtId="0" fontId="0" fillId="0" borderId="0" xfId="0" applyFont="1"/>
    <xf numFmtId="0" fontId="15" fillId="0" borderId="0" xfId="0" applyFont="1"/>
    <xf numFmtId="11" fontId="0" fillId="0" borderId="0" xfId="0" applyNumberFormat="1"/>
    <xf numFmtId="2" fontId="0" fillId="0" borderId="0" xfId="0" applyNumberFormat="1" applyFont="1"/>
    <xf numFmtId="164" fontId="0" fillId="0" borderId="0" xfId="0" applyNumberFormat="1" applyFont="1"/>
    <xf numFmtId="166" fontId="0" fillId="0" borderId="0" xfId="1" applyNumberFormat="1" applyFont="1"/>
    <xf numFmtId="0" fontId="18" fillId="0" borderId="0" xfId="0" applyFont="1"/>
    <xf numFmtId="2" fontId="14" fillId="0" borderId="0" xfId="0" applyNumberFormat="1" applyFont="1"/>
    <xf numFmtId="164" fontId="0" fillId="0" borderId="0" xfId="0" applyNumberFormat="1"/>
    <xf numFmtId="2" fontId="0" fillId="7" borderId="0" xfId="0" applyNumberFormat="1" applyFont="1" applyFill="1"/>
    <xf numFmtId="2" fontId="16" fillId="0" borderId="0" xfId="0" applyNumberFormat="1" applyFont="1"/>
    <xf numFmtId="0" fontId="5" fillId="0" borderId="2" xfId="0" applyFont="1" applyBorder="1"/>
    <xf numFmtId="0" fontId="0" fillId="0" borderId="3" xfId="0" applyBorder="1"/>
    <xf numFmtId="0" fontId="0" fillId="0" borderId="4" xfId="0" applyBorder="1"/>
    <xf numFmtId="0" fontId="8" fillId="0" borderId="5" xfId="0" applyFont="1" applyBorder="1"/>
    <xf numFmtId="0" fontId="8" fillId="0" borderId="0" xfId="0" applyFont="1" applyBorder="1"/>
    <xf numFmtId="0" fontId="8" fillId="0" borderId="6" xfId="0" applyFont="1" applyBorder="1"/>
    <xf numFmtId="10" fontId="17" fillId="0" borderId="5" xfId="1" applyNumberFormat="1" applyFont="1" applyBorder="1"/>
    <xf numFmtId="10" fontId="8" fillId="0" borderId="0" xfId="1" applyNumberFormat="1" applyFont="1" applyBorder="1"/>
    <xf numFmtId="10" fontId="8" fillId="8" borderId="0" xfId="1" applyNumberFormat="1" applyFont="1" applyFill="1" applyBorder="1"/>
    <xf numFmtId="10" fontId="8" fillId="8" borderId="6" xfId="1" applyNumberFormat="1" applyFont="1" applyFill="1" applyBorder="1"/>
    <xf numFmtId="10" fontId="0" fillId="0" borderId="5" xfId="1" applyNumberFormat="1" applyFont="1" applyBorder="1"/>
    <xf numFmtId="10" fontId="0" fillId="0" borderId="0" xfId="1" applyNumberFormat="1" applyFont="1" applyBorder="1"/>
    <xf numFmtId="10" fontId="0" fillId="8" borderId="0" xfId="1" applyNumberFormat="1" applyFont="1" applyFill="1" applyBorder="1"/>
    <xf numFmtId="10" fontId="0" fillId="8" borderId="6" xfId="1" applyNumberFormat="1" applyFont="1" applyFill="1" applyBorder="1"/>
    <xf numFmtId="10" fontId="14" fillId="0" borderId="0" xfId="1" applyNumberFormat="1" applyFont="1" applyBorder="1"/>
    <xf numFmtId="10" fontId="0" fillId="8" borderId="5" xfId="1" applyNumberFormat="1" applyFont="1" applyFill="1" applyBorder="1"/>
    <xf numFmtId="10" fontId="0" fillId="0" borderId="6" xfId="1" applyNumberFormat="1" applyFont="1" applyBorder="1"/>
    <xf numFmtId="10" fontId="17" fillId="0" borderId="0" xfId="1" applyNumberFormat="1" applyFont="1" applyBorder="1"/>
    <xf numFmtId="10" fontId="17" fillId="0" borderId="8" xfId="1" applyNumberFormat="1" applyFont="1" applyBorder="1"/>
    <xf numFmtId="0" fontId="2" fillId="0" borderId="2" xfId="0" applyFont="1" applyBorder="1"/>
    <xf numFmtId="165" fontId="16" fillId="0" borderId="5" xfId="1" applyNumberFormat="1" applyFont="1" applyBorder="1"/>
    <xf numFmtId="165" fontId="16" fillId="0" borderId="0" xfId="1" applyNumberFormat="1" applyFont="1" applyBorder="1"/>
    <xf numFmtId="165" fontId="16" fillId="8" borderId="0" xfId="1" applyNumberFormat="1" applyFont="1" applyFill="1" applyBorder="1"/>
    <xf numFmtId="165" fontId="16" fillId="8" borderId="6" xfId="1" applyNumberFormat="1" applyFont="1" applyFill="1" applyBorder="1"/>
    <xf numFmtId="165" fontId="0" fillId="0" borderId="5" xfId="0" applyNumberFormat="1" applyFont="1" applyBorder="1"/>
    <xf numFmtId="165" fontId="16" fillId="8" borderId="5" xfId="1" applyNumberFormat="1" applyFont="1" applyFill="1" applyBorder="1"/>
    <xf numFmtId="165" fontId="16" fillId="0" borderId="6" xfId="1" applyNumberFormat="1" applyFont="1" applyBorder="1"/>
    <xf numFmtId="0" fontId="2" fillId="0" borderId="10" xfId="0" applyFont="1" applyBorder="1"/>
    <xf numFmtId="0" fontId="8" fillId="0" borderId="11" xfId="0" applyFont="1" applyBorder="1"/>
    <xf numFmtId="166" fontId="0" fillId="0" borderId="11" xfId="1" applyNumberFormat="1" applyFont="1" applyBorder="1"/>
    <xf numFmtId="0" fontId="2" fillId="0" borderId="13" xfId="0" applyFont="1" applyBorder="1"/>
    <xf numFmtId="164" fontId="0" fillId="0" borderId="14" xfId="0" applyNumberFormat="1" applyBorder="1"/>
    <xf numFmtId="164" fontId="0" fillId="0" borderId="15" xfId="0" applyNumberFormat="1" applyBorder="1"/>
    <xf numFmtId="0" fontId="5" fillId="0" borderId="10" xfId="0" applyFont="1" applyBorder="1"/>
    <xf numFmtId="2" fontId="0" fillId="0" borderId="11" xfId="0" applyNumberFormat="1" applyBorder="1"/>
    <xf numFmtId="2" fontId="0" fillId="0" borderId="12" xfId="0" applyNumberFormat="1" applyBorder="1"/>
    <xf numFmtId="0" fontId="0" fillId="0" borderId="11" xfId="0" applyBorder="1"/>
    <xf numFmtId="0" fontId="0" fillId="0" borderId="12" xfId="0" applyBorder="1"/>
    <xf numFmtId="11" fontId="0" fillId="0" borderId="5" xfId="0" applyNumberFormat="1" applyBorder="1"/>
    <xf numFmtId="11" fontId="0" fillId="0" borderId="0" xfId="0" applyNumberFormat="1" applyBorder="1"/>
    <xf numFmtId="11" fontId="0" fillId="0" borderId="6" xfId="0" applyNumberFormat="1" applyBorder="1"/>
    <xf numFmtId="11" fontId="0" fillId="0" borderId="7" xfId="0" applyNumberFormat="1" applyBorder="1"/>
    <xf numFmtId="11" fontId="0" fillId="0" borderId="8" xfId="0" applyNumberFormat="1" applyBorder="1"/>
    <xf numFmtId="11" fontId="0" fillId="0" borderId="9" xfId="0" applyNumberFormat="1" applyBorder="1"/>
    <xf numFmtId="10" fontId="0" fillId="8" borderId="7" xfId="1" applyNumberFormat="1" applyFont="1" applyFill="1" applyBorder="1"/>
    <xf numFmtId="10" fontId="0" fillId="8" borderId="8" xfId="1" applyNumberFormat="1" applyFont="1" applyFill="1" applyBorder="1"/>
    <xf numFmtId="10" fontId="0" fillId="8" borderId="9" xfId="1" applyNumberFormat="1" applyFont="1" applyFill="1" applyBorder="1"/>
    <xf numFmtId="166" fontId="0" fillId="8" borderId="11" xfId="1" applyNumberFormat="1" applyFont="1" applyFill="1" applyBorder="1"/>
    <xf numFmtId="166" fontId="0" fillId="8" borderId="12" xfId="1" applyNumberFormat="1" applyFont="1" applyFill="1" applyBorder="1"/>
    <xf numFmtId="165" fontId="16" fillId="8" borderId="7" xfId="1" applyNumberFormat="1" applyFont="1" applyFill="1" applyBorder="1"/>
    <xf numFmtId="165" fontId="16" fillId="8" borderId="8" xfId="1" applyNumberFormat="1" applyFont="1" applyFill="1" applyBorder="1"/>
    <xf numFmtId="165" fontId="16" fillId="8" borderId="9" xfId="1" applyNumberFormat="1" applyFont="1" applyFill="1" applyBorder="1"/>
    <xf numFmtId="164" fontId="0" fillId="7" borderId="0" xfId="0" applyNumberFormat="1" applyFont="1" applyFill="1"/>
    <xf numFmtId="10" fontId="0" fillId="0" borderId="0" xfId="0" applyNumberFormat="1"/>
    <xf numFmtId="0" fontId="2" fillId="0" borderId="0" xfId="0" applyFont="1"/>
    <xf numFmtId="2" fontId="0" fillId="0" borderId="0" xfId="0" applyNumberFormat="1" applyFill="1"/>
    <xf numFmtId="11" fontId="0" fillId="0" borderId="0" xfId="0" applyNumberFormat="1" applyFill="1" applyBorder="1"/>
    <xf numFmtId="9" fontId="0" fillId="0" borderId="0" xfId="0" applyNumberFormat="1"/>
    <xf numFmtId="2" fontId="0" fillId="0" borderId="0" xfId="0" applyNumberFormat="1" applyFont="1" applyFill="1"/>
    <xf numFmtId="2" fontId="8" fillId="0" borderId="0" xfId="0" applyNumberFormat="1" applyFont="1"/>
    <xf numFmtId="167" fontId="0" fillId="0" borderId="0" xfId="0" applyNumberFormat="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0" borderId="0" xfId="0"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4" fillId="3" borderId="5" xfId="0" applyFont="1" applyFill="1" applyBorder="1" applyProtection="1"/>
    <xf numFmtId="0" fontId="6" fillId="4" borderId="5" xfId="0" applyFont="1" applyFill="1" applyBorder="1" applyProtection="1"/>
    <xf numFmtId="0" fontId="8" fillId="2" borderId="5" xfId="0" applyFont="1" applyFill="1" applyBorder="1" applyProtection="1"/>
    <xf numFmtId="0" fontId="12" fillId="6" borderId="0" xfId="0" applyFont="1" applyFill="1" applyBorder="1" applyProtection="1"/>
    <xf numFmtId="1" fontId="0" fillId="2" borderId="0" xfId="0" applyNumberFormat="1" applyFill="1" applyBorder="1" applyProtection="1"/>
    <xf numFmtId="0" fontId="2" fillId="2" borderId="0" xfId="0" applyFont="1" applyFill="1" applyBorder="1" applyProtection="1"/>
    <xf numFmtId="9" fontId="0" fillId="2" borderId="0" xfId="1" applyFont="1" applyFill="1" applyBorder="1" applyProtection="1"/>
    <xf numFmtId="166" fontId="0" fillId="2" borderId="0" xfId="0" applyNumberFormat="1" applyFill="1" applyBorder="1" applyProtection="1"/>
    <xf numFmtId="0" fontId="0" fillId="2" borderId="0" xfId="0" applyFill="1" applyProtection="1"/>
    <xf numFmtId="0" fontId="10" fillId="2" borderId="7" xfId="0" applyFont="1" applyFill="1" applyBorder="1" applyProtection="1"/>
    <xf numFmtId="0" fontId="10" fillId="2" borderId="8" xfId="0" applyFont="1" applyFill="1" applyBorder="1" applyProtection="1"/>
    <xf numFmtId="0" fontId="10" fillId="0" borderId="8" xfId="0" applyFont="1" applyBorder="1" applyProtection="1"/>
    <xf numFmtId="0" fontId="10" fillId="2" borderId="9" xfId="0" applyFont="1" applyFill="1" applyBorder="1" applyProtection="1"/>
    <xf numFmtId="0" fontId="10" fillId="0" borderId="0" xfId="0" applyFont="1" applyProtection="1"/>
    <xf numFmtId="1" fontId="0" fillId="0" borderId="0" xfId="0" applyNumberFormat="1" applyProtection="1"/>
    <xf numFmtId="0" fontId="0" fillId="2" borderId="1" xfId="0" applyFill="1" applyBorder="1" applyProtection="1">
      <protection locked="0"/>
    </xf>
    <xf numFmtId="0" fontId="0" fillId="2" borderId="0" xfId="0" applyFill="1" applyBorder="1" applyProtection="1">
      <protection locked="0"/>
    </xf>
    <xf numFmtId="0" fontId="9" fillId="2" borderId="8" xfId="2" applyFill="1" applyBorder="1" applyProtection="1"/>
    <xf numFmtId="0" fontId="0" fillId="2" borderId="1" xfId="0" applyFill="1" applyBorder="1" applyAlignment="1" applyProtection="1">
      <alignment horizontal="right"/>
      <protection locked="0"/>
    </xf>
    <xf numFmtId="0" fontId="2" fillId="14" borderId="0" xfId="0" applyFont="1" applyFill="1" applyBorder="1" applyProtection="1"/>
    <xf numFmtId="0" fontId="2" fillId="12" borderId="0" xfId="0" applyFont="1" applyFill="1" applyBorder="1" applyProtection="1"/>
    <xf numFmtId="0" fontId="2" fillId="9" borderId="0" xfId="0" applyFont="1" applyFill="1" applyBorder="1" applyProtection="1"/>
    <xf numFmtId="0" fontId="2" fillId="13" borderId="0" xfId="0" applyFont="1" applyFill="1" applyBorder="1" applyProtection="1"/>
    <xf numFmtId="0" fontId="2" fillId="11" borderId="0" xfId="0" applyFont="1" applyFill="1" applyBorder="1" applyProtection="1"/>
    <xf numFmtId="0" fontId="2" fillId="10" borderId="0" xfId="0" applyFont="1" applyFill="1" applyBorder="1" applyProtection="1"/>
    <xf numFmtId="0" fontId="2" fillId="7" borderId="5" xfId="0" applyFont="1" applyFill="1" applyBorder="1" applyProtection="1"/>
    <xf numFmtId="1" fontId="0" fillId="7" borderId="0" xfId="0" applyNumberFormat="1" applyFill="1" applyBorder="1" applyProtection="1"/>
    <xf numFmtId="0" fontId="0" fillId="7" borderId="0" xfId="0" applyFill="1" applyBorder="1" applyProtection="1"/>
    <xf numFmtId="0" fontId="8" fillId="7" borderId="0" xfId="0" applyFont="1" applyFill="1" applyBorder="1" applyProtection="1"/>
    <xf numFmtId="0" fontId="8" fillId="7" borderId="5" xfId="0" applyFont="1" applyFill="1" applyBorder="1" applyProtection="1"/>
    <xf numFmtId="2" fontId="0" fillId="7" borderId="0" xfId="0" applyNumberFormat="1" applyFill="1" applyBorder="1" applyProtection="1"/>
    <xf numFmtId="0" fontId="0" fillId="0" borderId="0" xfId="0" quotePrefix="1"/>
    <xf numFmtId="0" fontId="5" fillId="5" borderId="5" xfId="0" applyFont="1" applyFill="1" applyBorder="1" applyAlignment="1" applyProtection="1">
      <alignment horizontal="center"/>
    </xf>
    <xf numFmtId="0" fontId="5" fillId="5" borderId="0" xfId="0" applyFont="1" applyFill="1" applyBorder="1" applyAlignment="1" applyProtection="1">
      <alignment horizontal="center"/>
    </xf>
    <xf numFmtId="0" fontId="6" fillId="4" borderId="0" xfId="0" applyFont="1" applyFill="1" applyBorder="1" applyAlignment="1" applyProtection="1">
      <alignment horizontal="center"/>
    </xf>
    <xf numFmtId="0" fontId="19" fillId="2" borderId="5" xfId="0" applyFont="1" applyFill="1" applyBorder="1" applyAlignment="1" applyProtection="1">
      <alignment horizontal="left" wrapText="1"/>
    </xf>
    <xf numFmtId="0" fontId="19" fillId="2" borderId="0" xfId="0" applyFont="1" applyFill="1" applyBorder="1" applyAlignment="1" applyProtection="1">
      <alignment horizontal="left" wrapText="1"/>
    </xf>
    <xf numFmtId="0" fontId="19" fillId="2" borderId="6" xfId="0" applyFont="1" applyFill="1" applyBorder="1" applyAlignment="1" applyProtection="1">
      <alignment horizontal="left" wrapText="1"/>
    </xf>
    <xf numFmtId="0" fontId="8" fillId="2" borderId="0" xfId="0" applyFont="1" applyFill="1" applyBorder="1" applyAlignment="1" applyProtection="1">
      <alignment horizontal="center" wrapText="1"/>
    </xf>
    <xf numFmtId="0" fontId="20" fillId="2" borderId="5" xfId="0" applyFont="1" applyFill="1" applyBorder="1" applyAlignment="1" applyProtection="1">
      <alignment horizontal="center"/>
    </xf>
    <xf numFmtId="0" fontId="20" fillId="2" borderId="0" xfId="0" applyFont="1" applyFill="1" applyBorder="1" applyAlignment="1" applyProtection="1">
      <alignment horizontal="center"/>
    </xf>
  </cellXfs>
  <cellStyles count="3">
    <cellStyle name="Collegamento ipertestuale" xfId="2" builtinId="8"/>
    <cellStyle name="Normale" xfId="0" builtinId="0"/>
    <cellStyle name="Percentuale" xfId="1" builtinId="5"/>
  </cellStyles>
  <dxfs count="0"/>
  <tableStyles count="0" defaultTableStyle="TableStyleMedium2" defaultPivotStyle="PivotStyleMedium9"/>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1945336741097968"/>
          <c:y val="0.17078790597176513"/>
          <c:w val="0.58951101185611676"/>
          <c:h val="0.67474103984781719"/>
        </c:manualLayout>
      </c:layout>
      <c:pieChart>
        <c:varyColors val="1"/>
        <c:ser>
          <c:idx val="0"/>
          <c:order val="0"/>
          <c:explosion val="7"/>
          <c:dPt>
            <c:idx val="0"/>
            <c:bubble3D val="0"/>
            <c:spPr>
              <a:solidFill>
                <a:schemeClr val="accent6">
                  <a:lumMod val="75000"/>
                  <a:alpha val="50000"/>
                </a:schemeClr>
              </a:solidFill>
              <a:ln w="9525" cap="flat" cmpd="sng" algn="ctr">
                <a:solidFill>
                  <a:schemeClr val="accent6">
                    <a:lumMod val="50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85DC-4979-B1F6-A637301BB0A2}"/>
              </c:ext>
            </c:extLst>
          </c:dPt>
          <c:dPt>
            <c:idx val="1"/>
            <c:bubble3D val="0"/>
            <c:spPr>
              <a:solidFill>
                <a:srgbClr val="FF0000">
                  <a:alpha val="50000"/>
                </a:srgbClr>
              </a:solidFill>
              <a:ln w="9525" cap="flat" cmpd="sng" algn="ctr">
                <a:solidFill>
                  <a:srgbClr val="C00000"/>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85DC-4979-B1F6-A637301BB0A2}"/>
              </c:ext>
            </c:extLst>
          </c:dPt>
          <c:dPt>
            <c:idx val="2"/>
            <c:bubble3D val="0"/>
            <c:spPr>
              <a:solidFill>
                <a:srgbClr val="FFC000">
                  <a:alpha val="50000"/>
                </a:srgbClr>
              </a:solidFill>
              <a:ln w="9525" cap="flat" cmpd="sng" algn="ctr">
                <a:solidFill>
                  <a:schemeClr val="accent6">
                    <a:lumMod val="7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85DC-4979-B1F6-A637301BB0A2}"/>
              </c:ext>
            </c:extLst>
          </c:dPt>
          <c:dPt>
            <c:idx val="3"/>
            <c:bubble3D val="0"/>
            <c:spPr>
              <a:solidFill>
                <a:schemeClr val="accent1">
                  <a:lumMod val="60000"/>
                  <a:lumOff val="40000"/>
                  <a:alpha val="50000"/>
                </a:schemeClr>
              </a:solidFill>
              <a:ln w="9525" cap="flat" cmpd="sng" algn="ctr">
                <a:solidFill>
                  <a:schemeClr val="accent1">
                    <a:lumMod val="7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85DC-4979-B1F6-A637301BB0A2}"/>
              </c:ext>
            </c:extLst>
          </c:dPt>
          <c:dPt>
            <c:idx val="4"/>
            <c:bubble3D val="0"/>
            <c:spPr>
              <a:solidFill>
                <a:schemeClr val="accent4">
                  <a:lumMod val="60000"/>
                  <a:lumOff val="40000"/>
                  <a:alpha val="70000"/>
                </a:schemeClr>
              </a:solidFill>
              <a:ln w="9525" cap="flat" cmpd="sng" algn="ctr">
                <a:solidFill>
                  <a:schemeClr val="accent4">
                    <a:lumMod val="7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85DC-4979-B1F6-A637301BB0A2}"/>
              </c:ext>
            </c:extLst>
          </c:dPt>
          <c:dPt>
            <c:idx val="5"/>
            <c:bubble3D val="0"/>
            <c:spPr>
              <a:solidFill>
                <a:schemeClr val="accent1">
                  <a:lumMod val="75000"/>
                </a:schemeClr>
              </a:solidFill>
              <a:ln w="9525" cap="flat" cmpd="sng" algn="ctr">
                <a:solidFill>
                  <a:schemeClr val="tx2">
                    <a:lumMod val="7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85DC-4979-B1F6-A637301BB0A2}"/>
              </c:ext>
            </c:extLst>
          </c:dPt>
          <c:dLbls>
            <c:dLbl>
              <c:idx val="4"/>
              <c:layout>
                <c:manualLayout>
                  <c:x val="-0.11595128351468362"/>
                  <c:y val="-4.8561287247517217E-2"/>
                </c:manualLayout>
              </c:layout>
              <c:numFmt formatCode="General" sourceLinked="0"/>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ysClr val="windowText" lastClr="000000"/>
                      </a:solidFill>
                      <a:latin typeface="+mn-lt"/>
                      <a:ea typeface="+mn-ea"/>
                      <a:cs typeface="+mn-cs"/>
                    </a:defRPr>
                  </a:pPr>
                  <a:endParaRPr lang="it-IT"/>
                </a:p>
              </c:txPr>
              <c:dLblPos val="bestFit"/>
              <c:showLegendKey val="0"/>
              <c:showVal val="1"/>
              <c:showCatName val="0"/>
              <c:showSerName val="0"/>
              <c:showPercent val="1"/>
              <c:showBubbleSize val="0"/>
              <c:separator>
</c:separator>
              <c:extLst>
                <c:ext xmlns:c15="http://schemas.microsoft.com/office/drawing/2012/chart" uri="{CE6537A1-D6FC-4f65-9D91-7224C49458BB}">
                  <c15:layout>
                    <c:manualLayout>
                      <c:w val="0.17231700698450295"/>
                      <c:h val="0.1531781982057876"/>
                    </c:manualLayout>
                  </c15:layout>
                </c:ext>
                <c:ext xmlns:c16="http://schemas.microsoft.com/office/drawing/2014/chart" uri="{C3380CC4-5D6E-409C-BE32-E72D297353CC}">
                  <c16:uniqueId val="{00000009-85DC-4979-B1F6-A637301BB0A2}"/>
                </c:ext>
              </c:extLst>
            </c:dLbl>
            <c:dLbl>
              <c:idx val="5"/>
              <c:layout>
                <c:manualLayout>
                  <c:x val="0.10549454200728287"/>
                  <c:y val="2.4038452438502257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85DC-4979-B1F6-A637301BB0A2}"/>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it-IT"/>
              </a:p>
            </c:txPr>
            <c:dLblPos val="outEnd"/>
            <c:showLegendKey val="0"/>
            <c:showVal val="1"/>
            <c:showCatName val="0"/>
            <c:showSerName val="0"/>
            <c:showPercent val="1"/>
            <c:showBubbleSize val="0"/>
            <c:separator>
</c:separator>
            <c:showLeaderLines val="1"/>
            <c:leaderLines>
              <c:spPr>
                <a:ln w="6350">
                  <a:solidFill>
                    <a:schemeClr val="tx1"/>
                  </a:solidFill>
                </a:ln>
                <a:effectLst/>
              </c:spPr>
            </c:leaderLines>
            <c:extLst>
              <c:ext xmlns:c15="http://schemas.microsoft.com/office/drawing/2012/chart" uri="{CE6537A1-D6FC-4f65-9D91-7224C49458BB}"/>
            </c:extLst>
          </c:dLbls>
          <c:cat>
            <c:strRef>
              <c:f>'DEMCOPEM system tool'!$H$17:$H$22</c:f>
              <c:strCache>
                <c:ptCount val="6"/>
                <c:pt idx="0">
                  <c:v>El. power, site consumption</c:v>
                </c:pt>
                <c:pt idx="1">
                  <c:v>El. power, exported to grid</c:v>
                </c:pt>
                <c:pt idx="2">
                  <c:v>Recovered heat</c:v>
                </c:pt>
                <c:pt idx="3">
                  <c:v>Wasted heat</c:v>
                </c:pt>
                <c:pt idx="4">
                  <c:v>BOP consumption</c:v>
                </c:pt>
                <c:pt idx="5">
                  <c:v>DC/AC losses</c:v>
                </c:pt>
              </c:strCache>
            </c:strRef>
          </c:cat>
          <c:val>
            <c:numRef>
              <c:f>'DEMCOPEM system tool'!$I$17:$I$22</c:f>
              <c:numCache>
                <c:formatCode>0</c:formatCode>
                <c:ptCount val="6"/>
                <c:pt idx="0">
                  <c:v>1020.1466776030445</c:v>
                </c:pt>
                <c:pt idx="1">
                  <c:v>0</c:v>
                </c:pt>
                <c:pt idx="2">
                  <c:v>440.62774932871667</c:v>
                </c:pt>
                <c:pt idx="3">
                  <c:v>351.81150787168212</c:v>
                </c:pt>
                <c:pt idx="4">
                  <c:v>88.017703083783076</c:v>
                </c:pt>
                <c:pt idx="5">
                  <c:v>58.324441088780461</c:v>
                </c:pt>
              </c:numCache>
            </c:numRef>
          </c:val>
          <c:extLst>
            <c:ext xmlns:c16="http://schemas.microsoft.com/office/drawing/2014/chart" uri="{C3380CC4-5D6E-409C-BE32-E72D297353CC}">
              <c16:uniqueId val="{0000000C-85DC-4979-B1F6-A637301BB0A2}"/>
            </c:ext>
          </c:extLst>
        </c:ser>
        <c:dLbls>
          <c:dLblPos val="bestFit"/>
          <c:showLegendKey val="0"/>
          <c:showVal val="1"/>
          <c:showCatName val="0"/>
          <c:showSerName val="0"/>
          <c:showPercent val="0"/>
          <c:showBubbleSize val="0"/>
          <c:showLeaderLines val="1"/>
        </c:dLbls>
        <c:firstSliceAng val="45"/>
      </c:pieChart>
      <c:spPr>
        <a:noFill/>
        <a:ln>
          <a:noFill/>
        </a:ln>
        <a:effectLst/>
      </c:spPr>
    </c:plotArea>
    <c:plotVisOnly val="1"/>
    <c:dispBlanksAs val="gap"/>
    <c:showDLblsOverMax val="0"/>
  </c:chart>
  <c:spPr>
    <a:solidFill>
      <a:schemeClr val="bg1"/>
    </a:solidFill>
    <a:ln w="12700" cap="flat" cmpd="sng" algn="ctr">
      <a:solidFill>
        <a:schemeClr val="bg1">
          <a:lumMod val="85000"/>
        </a:schemeClr>
      </a:solidFill>
      <a:round/>
    </a:ln>
    <a:effectLst>
      <a:outerShdw blurRad="50800" dist="38100" dir="2700000" algn="tl" rotWithShape="0">
        <a:prstClr val="black">
          <a:alpha val="40000"/>
        </a:prstClr>
      </a:outerShdw>
    </a:effectLst>
  </c:spPr>
  <c:txPr>
    <a:bodyPr/>
    <a:lstStyle/>
    <a:p>
      <a:pPr>
        <a:defRPr>
          <a:solidFill>
            <a:sysClr val="windowText" lastClr="000000"/>
          </a:solidFill>
        </a:defRPr>
      </a:pPr>
      <a:endParaRPr lang="it-IT"/>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image" Target="../media/image4.emf"/><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88901</xdr:rowOff>
    </xdr:from>
    <xdr:to>
      <xdr:col>1</xdr:col>
      <xdr:colOff>155151</xdr:colOff>
      <xdr:row>3</xdr:row>
      <xdr:rowOff>88901</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88901"/>
          <a:ext cx="1964900" cy="552450"/>
        </a:xfrm>
        <a:prstGeom prst="rect">
          <a:avLst/>
        </a:prstGeom>
      </xdr:spPr>
    </xdr:pic>
    <xdr:clientData/>
  </xdr:twoCellAnchor>
  <xdr:twoCellAnchor>
    <xdr:from>
      <xdr:col>7</xdr:col>
      <xdr:colOff>44451</xdr:colOff>
      <xdr:row>0</xdr:row>
      <xdr:rowOff>63500</xdr:rowOff>
    </xdr:from>
    <xdr:to>
      <xdr:col>10</xdr:col>
      <xdr:colOff>241300</xdr:colOff>
      <xdr:row>13</xdr:row>
      <xdr:rowOff>146051</xdr:rowOff>
    </xdr:to>
    <xdr:graphicFrame macro="">
      <xdr:nvGraphicFramePr>
        <xdr:cNvPr id="3" name="Grafic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222250</xdr:colOff>
      <xdr:row>25</xdr:row>
      <xdr:rowOff>527050</xdr:rowOff>
    </xdr:from>
    <xdr:to>
      <xdr:col>10</xdr:col>
      <xdr:colOff>70606</xdr:colOff>
      <xdr:row>27</xdr:row>
      <xdr:rowOff>74250</xdr:rowOff>
    </xdr:to>
    <xdr:pic>
      <xdr:nvPicPr>
        <xdr:cNvPr id="4" name="Picture 11" descr="logo_gecos">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620250" y="5054600"/>
          <a:ext cx="457956" cy="3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1524002</xdr:colOff>
      <xdr:row>25</xdr:row>
      <xdr:rowOff>527050</xdr:rowOff>
    </xdr:from>
    <xdr:to>
      <xdr:col>8</xdr:col>
      <xdr:colOff>500784</xdr:colOff>
      <xdr:row>27</xdr:row>
      <xdr:rowOff>74250</xdr:rowOff>
    </xdr:to>
    <xdr:pic>
      <xdr:nvPicPr>
        <xdr:cNvPr id="5" name="Immagin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12202" y="5054600"/>
          <a:ext cx="853207" cy="360000"/>
        </a:xfrm>
        <a:prstGeom prst="rect">
          <a:avLst/>
        </a:prstGeom>
      </xdr:spPr>
    </xdr:pic>
    <xdr:clientData/>
  </xdr:twoCellAnchor>
  <xdr:twoCellAnchor editAs="oneCell">
    <xdr:from>
      <xdr:col>3</xdr:col>
      <xdr:colOff>190500</xdr:colOff>
      <xdr:row>0</xdr:row>
      <xdr:rowOff>127001</xdr:rowOff>
    </xdr:from>
    <xdr:to>
      <xdr:col>6</xdr:col>
      <xdr:colOff>1200150</xdr:colOff>
      <xdr:row>14</xdr:row>
      <xdr:rowOff>93703</xdr:rowOff>
    </xdr:to>
    <xdr:pic>
      <xdr:nvPicPr>
        <xdr:cNvPr id="7" name="Immagin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721100" y="127001"/>
          <a:ext cx="4006850" cy="2709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0.02506</cdr:y>
    </cdr:from>
    <cdr:to>
      <cdr:x>0.18901</cdr:x>
      <cdr:y>0.1447</cdr:y>
    </cdr:to>
    <cdr:sp macro="" textlink="">
      <cdr:nvSpPr>
        <cdr:cNvPr id="2" name="CasellaDiTesto 1"/>
        <cdr:cNvSpPr txBox="1"/>
      </cdr:nvSpPr>
      <cdr:spPr>
        <a:xfrm xmlns:a="http://schemas.openxmlformats.org/drawingml/2006/main">
          <a:off x="0" y="61588"/>
          <a:ext cx="546098" cy="294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it-IT" sz="1100" i="1"/>
            <a:t>[kW]</a:t>
          </a:r>
        </a:p>
      </cdr:txBody>
    </cdr:sp>
  </cdr:relSizeAnchor>
</c:userShapes>
</file>

<file path=xl/drawings/drawing3.xml><?xml version="1.0" encoding="utf-8"?>
<xdr:wsDr xmlns:xdr="http://schemas.openxmlformats.org/drawingml/2006/spreadsheetDrawing" xmlns:a="http://schemas.openxmlformats.org/drawingml/2006/main">
  <xdr:oneCellAnchor>
    <xdr:from>
      <xdr:col>6</xdr:col>
      <xdr:colOff>168275</xdr:colOff>
      <xdr:row>1</xdr:row>
      <xdr:rowOff>174625</xdr:rowOff>
    </xdr:from>
    <xdr:ext cx="2033698" cy="172227"/>
    <mc:AlternateContent xmlns:mc="http://schemas.openxmlformats.org/markup-compatibility/2006" xmlns:a14="http://schemas.microsoft.com/office/drawing/2010/main">
      <mc:Choice Requires="a14">
        <xdr:sp macro="" textlink="">
          <xdr:nvSpPr>
            <xdr:cNvPr id="2" name="CasellaDiTesto 1">
              <a:extLst>
                <a:ext uri="{FF2B5EF4-FFF2-40B4-BE49-F238E27FC236}">
                  <a16:creationId xmlns:a16="http://schemas.microsoft.com/office/drawing/2014/main" id="{00000000-0008-0000-0100-000002000000}"/>
                </a:ext>
              </a:extLst>
            </xdr:cNvPr>
            <xdr:cNvSpPr txBox="1"/>
          </xdr:nvSpPr>
          <xdr:spPr>
            <a:xfrm>
              <a:off x="4352925" y="358775"/>
              <a:ext cx="20336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it-IT" sz="1100" b="0" i="1">
                        <a:latin typeface="Cambria Math" panose="02040503050406030204" pitchFamily="18" charset="0"/>
                      </a:rPr>
                      <m:t>𝑉</m:t>
                    </m:r>
                    <m:r>
                      <a:rPr lang="it-IT" sz="1100" b="0" i="1">
                        <a:latin typeface="Cambria Math" panose="02040503050406030204" pitchFamily="18" charset="0"/>
                      </a:rPr>
                      <m:t>=</m:t>
                    </m:r>
                    <m:r>
                      <a:rPr lang="it-IT" sz="1100" b="0" i="1">
                        <a:latin typeface="Cambria Math" panose="02040503050406030204" pitchFamily="18" charset="0"/>
                      </a:rPr>
                      <m:t>𝐴</m:t>
                    </m:r>
                    <m:r>
                      <a:rPr lang="it-IT" sz="1100" b="0" i="1">
                        <a:latin typeface="Cambria Math" panose="02040503050406030204" pitchFamily="18" charset="0"/>
                      </a:rPr>
                      <m:t>+</m:t>
                    </m:r>
                    <m:r>
                      <a:rPr lang="it-IT" sz="1100" b="0" i="1">
                        <a:latin typeface="Cambria Math" panose="02040503050406030204" pitchFamily="18" charset="0"/>
                      </a:rPr>
                      <m:t>𝐵𝑙𝑛</m:t>
                    </m:r>
                    <m:d>
                      <m:dPr>
                        <m:ctrlPr>
                          <a:rPr lang="it-IT" sz="1100" b="0" i="1">
                            <a:latin typeface="Cambria Math" panose="02040503050406030204" pitchFamily="18" charset="0"/>
                          </a:rPr>
                        </m:ctrlPr>
                      </m:dPr>
                      <m:e>
                        <m:sSub>
                          <m:sSubPr>
                            <m:ctrlPr>
                              <a:rPr lang="it-IT" sz="1100" b="0" i="1">
                                <a:latin typeface="Cambria Math" panose="02040503050406030204" pitchFamily="18" charset="0"/>
                              </a:rPr>
                            </m:ctrlPr>
                          </m:sSubPr>
                          <m:e>
                            <m:r>
                              <a:rPr lang="it-IT" sz="1100" b="0" i="1">
                                <a:latin typeface="Cambria Math" panose="02040503050406030204" pitchFamily="18" charset="0"/>
                              </a:rPr>
                              <m:t>𝑥</m:t>
                            </m:r>
                          </m:e>
                          <m:sub>
                            <m:r>
                              <a:rPr lang="it-IT" sz="1100" b="0" i="1">
                                <a:latin typeface="Cambria Math" panose="02040503050406030204" pitchFamily="18" charset="0"/>
                              </a:rPr>
                              <m:t>𝐻</m:t>
                            </m:r>
                          </m:sub>
                        </m:sSub>
                      </m:e>
                    </m:d>
                    <m:r>
                      <a:rPr lang="it-IT" sz="1100" b="0" i="1">
                        <a:latin typeface="Cambria Math" panose="02040503050406030204" pitchFamily="18" charset="0"/>
                      </a:rPr>
                      <m:t>+</m:t>
                    </m:r>
                    <m:r>
                      <a:rPr lang="it-IT" sz="1100" b="0" i="1">
                        <a:latin typeface="Cambria Math" panose="02040503050406030204" pitchFamily="18" charset="0"/>
                      </a:rPr>
                      <m:t>𝐶𝑙𝑛</m:t>
                    </m:r>
                    <m:d>
                      <m:dPr>
                        <m:ctrlPr>
                          <a:rPr lang="it-IT" sz="1100" b="0" i="1">
                            <a:latin typeface="Cambria Math" panose="02040503050406030204" pitchFamily="18" charset="0"/>
                          </a:rPr>
                        </m:ctrlPr>
                      </m:dPr>
                      <m:e>
                        <m:sSub>
                          <m:sSubPr>
                            <m:ctrlPr>
                              <a:rPr lang="it-IT" sz="1100" b="0" i="1">
                                <a:latin typeface="Cambria Math" panose="02040503050406030204" pitchFamily="18" charset="0"/>
                              </a:rPr>
                            </m:ctrlPr>
                          </m:sSubPr>
                          <m:e>
                            <m:r>
                              <a:rPr lang="it-IT" sz="1100" b="0" i="1">
                                <a:latin typeface="Cambria Math" panose="02040503050406030204" pitchFamily="18" charset="0"/>
                              </a:rPr>
                              <m:t>𝑥</m:t>
                            </m:r>
                          </m:e>
                          <m:sub>
                            <m:r>
                              <a:rPr lang="it-IT" sz="1100" b="0" i="1">
                                <a:latin typeface="Cambria Math" panose="02040503050406030204" pitchFamily="18" charset="0"/>
                              </a:rPr>
                              <m:t>𝑂</m:t>
                            </m:r>
                          </m:sub>
                        </m:sSub>
                      </m:e>
                    </m:d>
                    <m:r>
                      <a:rPr lang="it-IT" sz="1100" b="0" i="1">
                        <a:latin typeface="Cambria Math" panose="02040503050406030204" pitchFamily="18" charset="0"/>
                      </a:rPr>
                      <m:t>+</m:t>
                    </m:r>
                    <m:r>
                      <a:rPr lang="it-IT" sz="1100" b="0" i="1">
                        <a:latin typeface="Cambria Math" panose="02040503050406030204" pitchFamily="18" charset="0"/>
                      </a:rPr>
                      <m:t>𝐷𝐼</m:t>
                    </m:r>
                  </m:oMath>
                </m:oMathPara>
              </a14:m>
              <a:endParaRPr lang="it-IT" sz="1100"/>
            </a:p>
          </xdr:txBody>
        </xdr:sp>
      </mc:Choice>
      <mc:Fallback xmlns="">
        <xdr:sp macro="" textlink="">
          <xdr:nvSpPr>
            <xdr:cNvPr id="2" name="CasellaDiTesto 1"/>
            <xdr:cNvSpPr txBox="1"/>
          </xdr:nvSpPr>
          <xdr:spPr>
            <a:xfrm>
              <a:off x="4352925" y="358775"/>
              <a:ext cx="20336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it-IT" sz="1100" b="0" i="0">
                  <a:latin typeface="Cambria Math" panose="02040503050406030204" pitchFamily="18" charset="0"/>
                </a:rPr>
                <a:t>𝑉=𝐴+𝐵𝑙𝑛(𝑥_𝐻 )+𝐶𝑙𝑛(𝑥_𝑂 )+𝐷𝐼</a:t>
              </a:r>
              <a:endParaRPr lang="it-IT" sz="1100"/>
            </a:p>
          </xdr:txBody>
        </xdr:sp>
      </mc:Fallback>
    </mc:AlternateContent>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demcopem-2mw.eu/" TargetMode="External"/><Relationship Id="rId1" Type="http://schemas.openxmlformats.org/officeDocument/2006/relationships/hyperlink" Target="http://www.gecos.polimi.i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K58"/>
  <sheetViews>
    <sheetView tabSelected="1" zoomScaleNormal="100" workbookViewId="0">
      <selection activeCell="B8" sqref="B8"/>
    </sheetView>
  </sheetViews>
  <sheetFormatPr defaultColWidth="8.7109375" defaultRowHeight="15" x14ac:dyDescent="0.25"/>
  <cols>
    <col min="1" max="1" width="28.140625" style="87" customWidth="1"/>
    <col min="2" max="2" width="11.42578125" style="87" customWidth="1"/>
    <col min="3" max="3" width="11.140625" style="87" customWidth="1"/>
    <col min="4" max="4" width="8.7109375" style="87"/>
    <col min="5" max="5" width="25.42578125" style="87" customWidth="1"/>
    <col min="6" max="6" width="8.7109375" style="87"/>
    <col min="7" max="7" width="18.7109375" style="87" customWidth="1"/>
    <col min="8" max="8" width="26.5703125" style="87" bestFit="1" customWidth="1"/>
    <col min="9" max="10" width="8.7109375" style="87"/>
    <col min="11" max="11" width="9.5703125" style="87" customWidth="1"/>
    <col min="12" max="12" width="8.7109375" style="87"/>
    <col min="13" max="13" width="18.42578125" style="87" customWidth="1"/>
    <col min="14" max="14" width="9.5703125" style="87" customWidth="1"/>
    <col min="15" max="16384" width="8.7109375" style="87"/>
  </cols>
  <sheetData>
    <row r="1" spans="1:11" x14ac:dyDescent="0.25">
      <c r="A1" s="84"/>
      <c r="B1" s="85"/>
      <c r="C1" s="85"/>
      <c r="D1" s="85"/>
      <c r="E1" s="85"/>
      <c r="F1" s="85"/>
      <c r="G1" s="85"/>
      <c r="H1" s="85"/>
      <c r="I1" s="85"/>
      <c r="J1" s="85"/>
      <c r="K1" s="86"/>
    </row>
    <row r="2" spans="1:11" x14ac:dyDescent="0.25">
      <c r="A2" s="88"/>
      <c r="B2" s="89"/>
      <c r="C2" s="89"/>
      <c r="D2" s="89"/>
      <c r="E2" s="89"/>
      <c r="F2" s="89"/>
      <c r="G2" s="89"/>
      <c r="H2" s="89"/>
      <c r="I2" s="89"/>
      <c r="J2" s="89"/>
      <c r="K2" s="90"/>
    </row>
    <row r="3" spans="1:11" x14ac:dyDescent="0.25">
      <c r="A3" s="88"/>
      <c r="B3" s="89"/>
      <c r="C3" s="89"/>
      <c r="D3" s="89"/>
      <c r="E3" s="89"/>
      <c r="F3" s="89"/>
      <c r="G3" s="89"/>
      <c r="H3" s="89"/>
      <c r="I3" s="89"/>
      <c r="J3" s="89"/>
      <c r="K3" s="90"/>
    </row>
    <row r="4" spans="1:11" ht="15.75" thickBot="1" x14ac:dyDescent="0.3">
      <c r="A4" s="88"/>
      <c r="B4" s="89"/>
      <c r="C4" s="89"/>
      <c r="D4" s="89"/>
      <c r="E4" s="89"/>
      <c r="F4" s="89"/>
      <c r="G4" s="89"/>
      <c r="H4" s="89"/>
      <c r="I4" s="89"/>
      <c r="J4" s="89"/>
      <c r="K4" s="90"/>
    </row>
    <row r="5" spans="1:11" ht="18" thickBot="1" x14ac:dyDescent="0.3">
      <c r="A5" s="91" t="s">
        <v>27</v>
      </c>
      <c r="B5" s="106">
        <v>1000</v>
      </c>
      <c r="C5" s="89" t="s">
        <v>0</v>
      </c>
      <c r="D5" s="89"/>
      <c r="E5" s="89"/>
      <c r="F5" s="89"/>
      <c r="G5" s="89"/>
      <c r="H5" s="89"/>
      <c r="I5" s="89"/>
      <c r="J5" s="89"/>
      <c r="K5" s="90"/>
    </row>
    <row r="6" spans="1:11" ht="18.75" thickBot="1" x14ac:dyDescent="0.4">
      <c r="A6" s="91" t="s">
        <v>80</v>
      </c>
      <c r="B6" s="106">
        <v>50</v>
      </c>
      <c r="C6" s="89" t="s">
        <v>99</v>
      </c>
      <c r="D6" s="89"/>
      <c r="E6" s="89"/>
      <c r="F6" s="89"/>
      <c r="G6" s="89"/>
      <c r="H6" s="89"/>
      <c r="I6" s="89"/>
      <c r="J6" s="89"/>
      <c r="K6" s="90"/>
    </row>
    <row r="7" spans="1:11" ht="15.75" thickBot="1" x14ac:dyDescent="0.3">
      <c r="A7" s="88"/>
      <c r="B7" s="107"/>
      <c r="C7" s="89"/>
      <c r="D7" s="89"/>
      <c r="E7" s="89"/>
      <c r="F7" s="89"/>
      <c r="G7" s="89"/>
      <c r="H7" s="89"/>
      <c r="I7" s="89"/>
      <c r="J7" s="89"/>
      <c r="K7" s="90"/>
    </row>
    <row r="8" spans="1:11" ht="15.75" thickBot="1" x14ac:dyDescent="0.3">
      <c r="A8" s="92" t="s">
        <v>169</v>
      </c>
      <c r="B8" s="109" t="s">
        <v>177</v>
      </c>
      <c r="C8" s="89"/>
      <c r="D8" s="89"/>
      <c r="E8" s="89"/>
      <c r="F8" s="89"/>
      <c r="G8" s="89"/>
      <c r="H8" s="89"/>
      <c r="I8" s="89"/>
      <c r="J8" s="89"/>
      <c r="K8" s="90"/>
    </row>
    <row r="9" spans="1:11" ht="18.75" thickBot="1" x14ac:dyDescent="0.4">
      <c r="A9" s="92" t="s">
        <v>62</v>
      </c>
      <c r="B9" s="106">
        <v>1000</v>
      </c>
      <c r="C9" s="89" t="s">
        <v>31</v>
      </c>
      <c r="D9" s="89"/>
      <c r="E9" s="89"/>
      <c r="F9" s="89"/>
      <c r="G9" s="89"/>
      <c r="H9" s="89"/>
      <c r="I9" s="89"/>
      <c r="J9" s="89"/>
      <c r="K9" s="90"/>
    </row>
    <row r="10" spans="1:11" ht="18.75" thickBot="1" x14ac:dyDescent="0.4">
      <c r="A10" s="92" t="s">
        <v>164</v>
      </c>
      <c r="B10" s="106">
        <v>2000</v>
      </c>
      <c r="C10" s="89" t="s">
        <v>29</v>
      </c>
      <c r="D10" s="89"/>
      <c r="E10" s="89"/>
      <c r="F10" s="89"/>
      <c r="G10" s="89"/>
      <c r="H10" s="89"/>
      <c r="I10" s="89"/>
      <c r="J10" s="89"/>
      <c r="K10" s="90"/>
    </row>
    <row r="11" spans="1:11" x14ac:dyDescent="0.25">
      <c r="A11" s="88"/>
      <c r="B11" s="107"/>
      <c r="C11" s="89"/>
      <c r="D11" s="89"/>
      <c r="E11" s="89"/>
      <c r="F11" s="89"/>
      <c r="G11" s="89"/>
      <c r="H11" s="89"/>
      <c r="I11" s="89"/>
      <c r="J11" s="89"/>
      <c r="K11" s="90"/>
    </row>
    <row r="12" spans="1:11" ht="15.75" thickBot="1" x14ac:dyDescent="0.3">
      <c r="A12" s="93" t="s">
        <v>6</v>
      </c>
      <c r="B12" s="107"/>
      <c r="C12" s="89"/>
      <c r="D12" s="89"/>
      <c r="E12" s="89"/>
      <c r="F12" s="89"/>
      <c r="G12" s="89"/>
      <c r="H12" s="89"/>
      <c r="I12" s="89"/>
      <c r="J12" s="89"/>
      <c r="K12" s="90"/>
    </row>
    <row r="13" spans="1:11" ht="15.75" thickBot="1" x14ac:dyDescent="0.3">
      <c r="A13" s="88" t="s">
        <v>7</v>
      </c>
      <c r="B13" s="106">
        <v>15</v>
      </c>
      <c r="C13" s="89" t="s">
        <v>8</v>
      </c>
      <c r="D13" s="89"/>
      <c r="E13" s="89"/>
      <c r="F13" s="89"/>
      <c r="G13" s="89"/>
      <c r="H13" s="89"/>
      <c r="I13" s="89"/>
      <c r="J13" s="89"/>
      <c r="K13" s="90"/>
    </row>
    <row r="14" spans="1:11" ht="15.75" thickBot="1" x14ac:dyDescent="0.3">
      <c r="A14" s="88" t="s">
        <v>30</v>
      </c>
      <c r="B14" s="106">
        <v>25</v>
      </c>
      <c r="C14" s="89" t="s">
        <v>8</v>
      </c>
      <c r="D14" s="89"/>
      <c r="E14" s="89"/>
      <c r="F14" s="89"/>
      <c r="G14" s="89"/>
      <c r="H14" s="89"/>
      <c r="I14" s="89"/>
      <c r="J14" s="89"/>
      <c r="K14" s="90"/>
    </row>
    <row r="15" spans="1:11" x14ac:dyDescent="0.25">
      <c r="A15" s="88"/>
      <c r="B15" s="89"/>
      <c r="C15" s="89"/>
      <c r="D15" s="89"/>
      <c r="E15" s="89"/>
      <c r="F15" s="89"/>
      <c r="G15" s="89"/>
      <c r="H15" s="89"/>
      <c r="I15" s="89"/>
      <c r="J15" s="89"/>
      <c r="K15" s="90"/>
    </row>
    <row r="16" spans="1:11" x14ac:dyDescent="0.25">
      <c r="A16" s="123" t="s">
        <v>5</v>
      </c>
      <c r="B16" s="124"/>
      <c r="C16" s="124"/>
      <c r="D16" s="89"/>
      <c r="E16" s="125" t="s">
        <v>172</v>
      </c>
      <c r="F16" s="125"/>
      <c r="G16" s="89"/>
      <c r="H16" s="94" t="s">
        <v>162</v>
      </c>
      <c r="I16" s="94"/>
      <c r="J16" s="94"/>
      <c r="K16" s="90"/>
    </row>
    <row r="17" spans="1:11" ht="18" x14ac:dyDescent="0.35">
      <c r="A17" s="116" t="s">
        <v>173</v>
      </c>
      <c r="B17" s="117">
        <f>Calculator!B17*Calculator!C32-Calculator!C30</f>
        <v>1020.1466776030445</v>
      </c>
      <c r="C17" s="118" t="s">
        <v>31</v>
      </c>
      <c r="D17" s="89"/>
      <c r="E17" s="96" t="s">
        <v>15</v>
      </c>
      <c r="F17" s="97">
        <f>B17*3600/(B21*10.708*1000)</f>
        <v>0.5207678058993912</v>
      </c>
      <c r="G17" s="89"/>
      <c r="H17" s="110" t="s">
        <v>174</v>
      </c>
      <c r="I17" s="95">
        <f>B17-B18</f>
        <v>1020.1466776030445</v>
      </c>
      <c r="J17" s="89" t="s">
        <v>28</v>
      </c>
      <c r="K17" s="90"/>
    </row>
    <row r="18" spans="1:11" ht="18" x14ac:dyDescent="0.35">
      <c r="A18" s="116" t="s">
        <v>176</v>
      </c>
      <c r="B18" s="117">
        <f>IF(B8="Site power",0,MAX(B17-B9,0))</f>
        <v>0</v>
      </c>
      <c r="C18" s="118" t="s">
        <v>31</v>
      </c>
      <c r="D18" s="89"/>
      <c r="E18" s="96" t="s">
        <v>16</v>
      </c>
      <c r="F18" s="97">
        <f>B19*3600/(B21*10.708*1000)</f>
        <v>0.22493309175446943</v>
      </c>
      <c r="G18" s="89"/>
      <c r="H18" s="111" t="s">
        <v>175</v>
      </c>
      <c r="I18" s="95">
        <f>B18</f>
        <v>0</v>
      </c>
      <c r="J18" s="89" t="s">
        <v>28</v>
      </c>
      <c r="K18" s="90"/>
    </row>
    <row r="19" spans="1:11" ht="18" x14ac:dyDescent="0.35">
      <c r="A19" s="116" t="str">
        <f>CONCATENATE("Heat production @ ",TEXT(Calculator!D52,"0.0")," °C")</f>
        <v>Heat production @ 60.0 °C</v>
      </c>
      <c r="B19" s="117">
        <f>Calculator!C51*4.186*(Calculator!D51-Calculator!D52)</f>
        <v>440.62774932871667</v>
      </c>
      <c r="C19" s="118" t="s">
        <v>29</v>
      </c>
      <c r="D19" s="89"/>
      <c r="E19" s="96" t="s">
        <v>26</v>
      </c>
      <c r="F19" s="97">
        <f>1-1/(F18/F22+F17/F21)</f>
        <v>0.29978528210591382</v>
      </c>
      <c r="G19" s="89"/>
      <c r="H19" s="112" t="s">
        <v>18</v>
      </c>
      <c r="I19" s="95">
        <f>B19</f>
        <v>440.62774932871667</v>
      </c>
      <c r="J19" s="89" t="s">
        <v>28</v>
      </c>
      <c r="K19" s="90"/>
    </row>
    <row r="20" spans="1:11" x14ac:dyDescent="0.25">
      <c r="A20" s="116" t="s">
        <v>1</v>
      </c>
      <c r="B20" s="117">
        <f>Calculator!P65*3600</f>
        <v>430.15384948530277</v>
      </c>
      <c r="C20" s="118" t="s">
        <v>10</v>
      </c>
      <c r="D20" s="89"/>
      <c r="E20" s="129" t="s">
        <v>163</v>
      </c>
      <c r="F20" s="129"/>
      <c r="G20" s="89"/>
      <c r="H20" s="113" t="s">
        <v>13</v>
      </c>
      <c r="I20" s="95">
        <f>I23-I17-I19-I21-I22</f>
        <v>351.81150787168212</v>
      </c>
      <c r="J20" s="89" t="s">
        <v>28</v>
      </c>
      <c r="K20" s="90"/>
    </row>
    <row r="21" spans="1:11" ht="16.5" customHeight="1" x14ac:dyDescent="0.25">
      <c r="A21" s="116" t="s">
        <v>135</v>
      </c>
      <c r="B21" s="117">
        <f>Calculator!J15</f>
        <v>658.58620510960259</v>
      </c>
      <c r="C21" s="118" t="s">
        <v>0</v>
      </c>
      <c r="D21" s="89"/>
      <c r="E21" s="89" t="s">
        <v>167</v>
      </c>
      <c r="F21" s="98">
        <v>0.442</v>
      </c>
      <c r="G21" s="89"/>
      <c r="H21" s="114" t="s">
        <v>19</v>
      </c>
      <c r="I21" s="95">
        <f>Calculator!C30</f>
        <v>88.017703083783076</v>
      </c>
      <c r="J21" s="89" t="s">
        <v>28</v>
      </c>
      <c r="K21" s="90"/>
    </row>
    <row r="22" spans="1:11" ht="16.5" customHeight="1" x14ac:dyDescent="0.35">
      <c r="A22" s="119" t="s">
        <v>161</v>
      </c>
      <c r="B22" s="117">
        <f>Calculator!O26</f>
        <v>59.461094808767569</v>
      </c>
      <c r="C22" s="118" t="s">
        <v>29</v>
      </c>
      <c r="D22" s="89"/>
      <c r="E22" s="89" t="s">
        <v>168</v>
      </c>
      <c r="F22" s="98">
        <v>0.9</v>
      </c>
      <c r="G22" s="89"/>
      <c r="H22" s="115" t="s">
        <v>14</v>
      </c>
      <c r="I22" s="95">
        <f>Calculator!B17*(1-Calculator!C32)</f>
        <v>58.324441088780461</v>
      </c>
      <c r="J22" s="89" t="s">
        <v>28</v>
      </c>
      <c r="K22" s="90"/>
    </row>
    <row r="23" spans="1:11" ht="16.5" customHeight="1" x14ac:dyDescent="0.25">
      <c r="A23" s="120" t="s">
        <v>153</v>
      </c>
      <c r="B23" s="121">
        <f>Calculator!I24</f>
        <v>320</v>
      </c>
      <c r="C23" s="118" t="s">
        <v>11</v>
      </c>
      <c r="D23" s="89"/>
      <c r="E23" s="89"/>
      <c r="F23" s="98"/>
      <c r="G23" s="89"/>
      <c r="H23" s="89" t="s">
        <v>160</v>
      </c>
      <c r="I23" s="95">
        <f>B21*10.708/3.6</f>
        <v>1958.9280789760069</v>
      </c>
      <c r="J23" s="89" t="s">
        <v>28</v>
      </c>
      <c r="K23" s="90"/>
    </row>
    <row r="24" spans="1:11" ht="16.5" customHeight="1" x14ac:dyDescent="0.25">
      <c r="A24" s="130" t="str">
        <f>IF(B21&lt;B5,"","Hydrogen availability is limiting the maximum production")</f>
        <v/>
      </c>
      <c r="B24" s="131"/>
      <c r="C24" s="131"/>
      <c r="D24" s="89"/>
      <c r="F24" s="98"/>
      <c r="G24" s="89"/>
      <c r="H24" s="127" t="s">
        <v>170</v>
      </c>
      <c r="I24" s="127"/>
      <c r="J24" s="127"/>
      <c r="K24" s="128"/>
    </row>
    <row r="25" spans="1:11" x14ac:dyDescent="0.25">
      <c r="A25" s="93"/>
      <c r="B25" s="89"/>
      <c r="C25" s="89"/>
      <c r="D25" s="89"/>
      <c r="E25" s="99"/>
      <c r="F25" s="99"/>
      <c r="H25" s="127"/>
      <c r="I25" s="127"/>
      <c r="J25" s="127"/>
      <c r="K25" s="128"/>
    </row>
    <row r="26" spans="1:11" ht="42.95" customHeight="1" x14ac:dyDescent="0.25">
      <c r="A26" s="126" t="s">
        <v>128</v>
      </c>
      <c r="B26" s="127"/>
      <c r="C26" s="127"/>
      <c r="D26" s="127"/>
      <c r="E26" s="127"/>
      <c r="F26" s="127"/>
      <c r="G26" s="127"/>
      <c r="H26" s="127"/>
      <c r="I26" s="127"/>
      <c r="J26" s="127"/>
      <c r="K26" s="128"/>
    </row>
    <row r="27" spans="1:11" ht="21" customHeight="1" x14ac:dyDescent="0.25">
      <c r="A27" s="88"/>
      <c r="B27" s="89"/>
      <c r="C27" s="89"/>
      <c r="D27" s="89"/>
      <c r="E27" s="89"/>
      <c r="F27" s="89"/>
      <c r="G27" s="89"/>
      <c r="H27" s="89"/>
      <c r="I27" s="89"/>
      <c r="J27" s="89"/>
      <c r="K27" s="90"/>
    </row>
    <row r="28" spans="1:11" s="104" customFormat="1" ht="15.75" thickBot="1" x14ac:dyDescent="0.3">
      <c r="A28" s="100" t="s">
        <v>17</v>
      </c>
      <c r="B28" s="101"/>
      <c r="C28" s="101"/>
      <c r="D28" s="101"/>
      <c r="E28" s="108" t="s">
        <v>165</v>
      </c>
      <c r="F28" s="108" t="s">
        <v>166</v>
      </c>
      <c r="G28" s="101"/>
      <c r="H28" s="102"/>
      <c r="I28" s="101"/>
      <c r="J28" s="101"/>
      <c r="K28" s="103"/>
    </row>
    <row r="33" spans="3:3" x14ac:dyDescent="0.25">
      <c r="C33" s="105"/>
    </row>
    <row r="47" spans="3:3" x14ac:dyDescent="0.25">
      <c r="C47" s="87">
        <v>0</v>
      </c>
    </row>
    <row r="56" spans="9:9" x14ac:dyDescent="0.25">
      <c r="I56" s="87">
        <v>0</v>
      </c>
    </row>
    <row r="58" spans="9:9" x14ac:dyDescent="0.25">
      <c r="I58" s="87">
        <v>0</v>
      </c>
    </row>
  </sheetData>
  <sheetProtection algorithmName="SHA-512" hashValue="n/xtxg28K4RL65sy8wUi5TadzGPaHjn2aSdNafvyuiN1uALnLMB0LCfRrqkIWQvG8vX1b4+adlzriLFVWUzNOw==" saltValue="8itGGnXXskbVCFXseF1vhg==" spinCount="100000" sheet="1" selectLockedCells="1"/>
  <mergeCells count="6">
    <mergeCell ref="A16:C16"/>
    <mergeCell ref="E16:F16"/>
    <mergeCell ref="A26:K26"/>
    <mergeCell ref="E20:F20"/>
    <mergeCell ref="A24:C24"/>
    <mergeCell ref="H24:K25"/>
  </mergeCells>
  <dataValidations count="1">
    <dataValidation type="list" allowBlank="1" showInputMessage="1" showErrorMessage="1" prompt="Select an option for electric power rating: 1) Max power = full hydrogen consumption for max electric power production 2) Site power = use the fraction of hydrogen required to produce the assigned site power demand" sqref="B8">
      <formula1>"Max power,Site power"</formula1>
    </dataValidation>
  </dataValidations>
  <hyperlinks>
    <hyperlink ref="E28" r:id="rId1"/>
    <hyperlink ref="F28"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X98"/>
  <sheetViews>
    <sheetView topLeftCell="A28" workbookViewId="0">
      <selection activeCell="J11" sqref="J11"/>
    </sheetView>
  </sheetViews>
  <sheetFormatPr defaultRowHeight="15" x14ac:dyDescent="0.25"/>
  <cols>
    <col min="1" max="1" width="17" customWidth="1"/>
    <col min="2" max="2" width="13.85546875" customWidth="1"/>
    <col min="3" max="3" width="8.7109375" customWidth="1"/>
    <col min="4" max="4" width="11.28515625" customWidth="1"/>
    <col min="6" max="6" width="10.28515625" customWidth="1"/>
    <col min="7" max="7" width="35.140625" customWidth="1"/>
    <col min="8" max="8" width="2.85546875" customWidth="1"/>
    <col min="9" max="9" width="10.42578125" customWidth="1"/>
    <col min="10" max="12" width="9" customWidth="1"/>
    <col min="13" max="13" width="4" customWidth="1"/>
    <col min="14" max="14" width="11.140625" customWidth="1"/>
    <col min="15" max="19" width="9.42578125" customWidth="1"/>
    <col min="20" max="25" width="9.28515625" customWidth="1"/>
  </cols>
  <sheetData>
    <row r="1" spans="1:14" s="5" customFormat="1" x14ac:dyDescent="0.25">
      <c r="A1" s="4" t="s">
        <v>2</v>
      </c>
    </row>
    <row r="2" spans="1:14" x14ac:dyDescent="0.25">
      <c r="A2" s="8" t="s">
        <v>33</v>
      </c>
      <c r="B2" s="9"/>
      <c r="C2" s="9"/>
      <c r="E2" s="8" t="s">
        <v>35</v>
      </c>
      <c r="F2" s="9"/>
    </row>
    <row r="3" spans="1:14" x14ac:dyDescent="0.25">
      <c r="A3" s="3" t="s">
        <v>34</v>
      </c>
      <c r="B3" s="3">
        <v>75</v>
      </c>
      <c r="C3" s="3"/>
      <c r="E3" s="3" t="s">
        <v>36</v>
      </c>
      <c r="F3" s="3">
        <f>774.31+15</f>
        <v>789.31</v>
      </c>
      <c r="I3" s="2" t="s">
        <v>130</v>
      </c>
      <c r="J3" s="7">
        <f>'DEMCOPEM system tool'!B5</f>
        <v>1000</v>
      </c>
      <c r="K3" t="s">
        <v>52</v>
      </c>
    </row>
    <row r="4" spans="1:14" x14ac:dyDescent="0.25">
      <c r="A4" s="3" t="s">
        <v>32</v>
      </c>
      <c r="B4" s="3">
        <v>120</v>
      </c>
      <c r="C4" s="3" t="s">
        <v>36</v>
      </c>
      <c r="E4" s="3" t="s">
        <v>37</v>
      </c>
      <c r="F4" s="3">
        <v>21.9</v>
      </c>
      <c r="J4" s="7">
        <f>J3/22.414/3600*1000</f>
        <v>12.393047995796278</v>
      </c>
      <c r="K4" t="s">
        <v>70</v>
      </c>
    </row>
    <row r="5" spans="1:14" x14ac:dyDescent="0.25">
      <c r="A5" s="3" t="s">
        <v>49</v>
      </c>
      <c r="B5" s="3">
        <v>65</v>
      </c>
      <c r="C5" s="3" t="s">
        <v>8</v>
      </c>
      <c r="E5" s="3" t="s">
        <v>56</v>
      </c>
      <c r="F5" s="3">
        <v>112.1</v>
      </c>
    </row>
    <row r="6" spans="1:14" x14ac:dyDescent="0.25">
      <c r="A6" s="3" t="s">
        <v>51</v>
      </c>
      <c r="B6" s="3">
        <v>1.3</v>
      </c>
      <c r="C6" s="3" t="s">
        <v>50</v>
      </c>
      <c r="E6" s="3" t="s">
        <v>57</v>
      </c>
      <c r="F6" s="3">
        <v>-0.99399999999999999</v>
      </c>
      <c r="I6" s="2" t="s">
        <v>58</v>
      </c>
      <c r="J6">
        <f>'DEMCOPEM system tool'!B9*1.05</f>
        <v>1050</v>
      </c>
      <c r="K6" t="s">
        <v>59</v>
      </c>
      <c r="L6" t="s">
        <v>132</v>
      </c>
    </row>
    <row r="7" spans="1:14" x14ac:dyDescent="0.25">
      <c r="A7" s="3" t="s">
        <v>42</v>
      </c>
      <c r="B7" s="3">
        <v>1.25</v>
      </c>
      <c r="C7" s="3"/>
    </row>
    <row r="8" spans="1:14" x14ac:dyDescent="0.25">
      <c r="A8" s="3" t="s">
        <v>43</v>
      </c>
      <c r="B8" s="3">
        <v>2</v>
      </c>
      <c r="C8" s="3"/>
      <c r="I8" s="2" t="s">
        <v>54</v>
      </c>
      <c r="J8">
        <f>ROUNDUP(J4/(B3*B4/2/96485),0)</f>
        <v>266</v>
      </c>
      <c r="K8" t="s">
        <v>55</v>
      </c>
    </row>
    <row r="9" spans="1:14" x14ac:dyDescent="0.25">
      <c r="A9" s="3" t="s">
        <v>44</v>
      </c>
      <c r="B9" s="6">
        <v>0.8</v>
      </c>
      <c r="C9" s="6"/>
      <c r="E9" s="1" t="s">
        <v>46</v>
      </c>
      <c r="F9" s="7">
        <f>1+(B7-1)/(B7-1-$F$11*B9)</f>
        <v>3.6297536831947586</v>
      </c>
      <c r="J9">
        <f>ROUNDUP(J6/B12*1000*1.08,0)</f>
        <v>171</v>
      </c>
      <c r="K9" t="s">
        <v>60</v>
      </c>
    </row>
    <row r="10" spans="1:14" x14ac:dyDescent="0.25">
      <c r="A10" s="3" t="s">
        <v>45</v>
      </c>
      <c r="B10" s="6">
        <v>0.8</v>
      </c>
      <c r="C10" s="3"/>
      <c r="E10" s="1" t="s">
        <v>47</v>
      </c>
      <c r="F10" s="7">
        <f>1+(B8-1)/(B8+0.21*(1-$F$11*B10))</f>
        <v>1.459249875220205</v>
      </c>
      <c r="J10">
        <f>IF('DEMCOPEM system tool'!B8="Site power",MIN(J8:J9),J8)</f>
        <v>171</v>
      </c>
      <c r="K10" s="11" t="s">
        <v>61</v>
      </c>
      <c r="L10" s="11" t="str">
        <f>IF(J9&gt;=J8,"H2","EE")</f>
        <v>EE</v>
      </c>
    </row>
    <row r="11" spans="1:14" x14ac:dyDescent="0.25">
      <c r="A11" t="s">
        <v>38</v>
      </c>
      <c r="B11" s="7">
        <f>$F$3+$F$4*LN($F$9)+$F$5*LN($F$10)+$F$6*B4</f>
        <v>740.62782334959252</v>
      </c>
      <c r="C11" t="s">
        <v>41</v>
      </c>
      <c r="E11" s="1" t="s">
        <v>48</v>
      </c>
      <c r="F11" s="7">
        <f>EXP((17.438)*B5/(239.78+B5)+6.4147)/B6/100000</f>
        <v>0.19366757778608407</v>
      </c>
      <c r="I11" t="s">
        <v>63</v>
      </c>
      <c r="J11">
        <f>ROUNDUP(J10/M11,0)</f>
        <v>25</v>
      </c>
      <c r="L11" t="s">
        <v>65</v>
      </c>
      <c r="M11">
        <v>7</v>
      </c>
      <c r="N11" t="s">
        <v>66</v>
      </c>
    </row>
    <row r="12" spans="1:14" x14ac:dyDescent="0.25">
      <c r="A12" t="s">
        <v>39</v>
      </c>
      <c r="B12" s="7">
        <f>B11*B4*$B$3/1000</f>
        <v>6665.6504101463324</v>
      </c>
      <c r="C12" t="s">
        <v>40</v>
      </c>
      <c r="I12" s="10" t="s">
        <v>64</v>
      </c>
      <c r="J12" s="10">
        <f>J11*M11</f>
        <v>175</v>
      </c>
      <c r="K12" s="10" t="s">
        <v>67</v>
      </c>
    </row>
    <row r="13" spans="1:14" x14ac:dyDescent="0.25">
      <c r="B13" s="7"/>
    </row>
    <row r="14" spans="1:14" x14ac:dyDescent="0.25">
      <c r="A14" s="77" t="s">
        <v>68</v>
      </c>
      <c r="B14" s="7">
        <f>MIN(B4,(J4/J12/B3)*2*96485)</f>
        <v>120</v>
      </c>
      <c r="C14" t="s">
        <v>36</v>
      </c>
      <c r="G14" s="122" t="s">
        <v>171</v>
      </c>
      <c r="I14" s="77" t="s">
        <v>131</v>
      </c>
      <c r="J14" s="7">
        <f>B14*J12*B3/2/96485</f>
        <v>8.1618904492926365</v>
      </c>
      <c r="K14" t="s">
        <v>70</v>
      </c>
    </row>
    <row r="15" spans="1:14" ht="17.25" x14ac:dyDescent="0.25">
      <c r="A15" s="77" t="s">
        <v>69</v>
      </c>
      <c r="B15" s="7">
        <f>$F$3+$F$4*LN($F$9)+$F$5*LN($F$10)+$F$6*B14</f>
        <v>740.62782334959252</v>
      </c>
      <c r="C15" t="s">
        <v>41</v>
      </c>
      <c r="J15">
        <f>J14*3600*22.414/1000</f>
        <v>658.58620510960259</v>
      </c>
      <c r="K15" t="s">
        <v>0</v>
      </c>
    </row>
    <row r="16" spans="1:14" x14ac:dyDescent="0.25">
      <c r="A16" s="77" t="s">
        <v>72</v>
      </c>
      <c r="B16" s="7">
        <f>B15*B14*$B$3/1000</f>
        <v>6665.6504101463324</v>
      </c>
      <c r="C16" t="s">
        <v>40</v>
      </c>
    </row>
    <row r="17" spans="1:16" x14ac:dyDescent="0.25">
      <c r="A17" s="77" t="s">
        <v>71</v>
      </c>
      <c r="B17" s="7">
        <f>B16*J12/1000</f>
        <v>1166.4888217756081</v>
      </c>
      <c r="C17" t="s">
        <v>28</v>
      </c>
    </row>
    <row r="19" spans="1:16" s="5" customFormat="1" x14ac:dyDescent="0.25">
      <c r="A19" s="4" t="s">
        <v>3</v>
      </c>
    </row>
    <row r="21" spans="1:16" x14ac:dyDescent="0.25">
      <c r="A21" s="2" t="s">
        <v>97</v>
      </c>
      <c r="B21" s="18" t="s">
        <v>98</v>
      </c>
      <c r="C21">
        <f>IF(E38&gt;E41,0,E41-E38)</f>
        <v>0.15000000000000002</v>
      </c>
      <c r="D21" t="s">
        <v>50</v>
      </c>
      <c r="G21" s="12" t="s">
        <v>151</v>
      </c>
      <c r="I21" s="7">
        <f>13*3/2000*B17+3.5*14</f>
        <v>71.746532024624358</v>
      </c>
      <c r="J21" t="s">
        <v>150</v>
      </c>
      <c r="N21" s="77" t="s">
        <v>157</v>
      </c>
    </row>
    <row r="22" spans="1:16" x14ac:dyDescent="0.25">
      <c r="B22" t="s">
        <v>147</v>
      </c>
      <c r="C22" s="7">
        <f>IF(C21&gt;0,(37.5*C21+25)/0.03*C38,0)</f>
        <v>16.797170544644246</v>
      </c>
      <c r="D22" t="s">
        <v>28</v>
      </c>
      <c r="G22" s="12" t="s">
        <v>152</v>
      </c>
      <c r="I22" s="7">
        <f>3.5*14/24*(J11/2)</f>
        <v>25.520833333333332</v>
      </c>
      <c r="J22" t="s">
        <v>150</v>
      </c>
      <c r="N22" s="1" t="s">
        <v>158</v>
      </c>
      <c r="O22" s="7">
        <f>(C22+C24)</f>
        <v>32.980508336841751</v>
      </c>
      <c r="P22" t="s">
        <v>28</v>
      </c>
    </row>
    <row r="23" spans="1:16" x14ac:dyDescent="0.25">
      <c r="A23" s="2" t="s">
        <v>100</v>
      </c>
      <c r="B23" s="18" t="s">
        <v>98</v>
      </c>
      <c r="C23">
        <f>IF(E42&gt;E41,0,E41-E42)</f>
        <v>0.16</v>
      </c>
      <c r="D23" t="s">
        <v>50</v>
      </c>
      <c r="G23" s="12"/>
      <c r="I23" s="7"/>
      <c r="N23" s="1" t="s">
        <v>111</v>
      </c>
      <c r="O23" s="7">
        <f>-I59*(I59&gt;0)</f>
        <v>0</v>
      </c>
      <c r="P23" t="s">
        <v>28</v>
      </c>
    </row>
    <row r="24" spans="1:16" x14ac:dyDescent="0.25">
      <c r="B24" s="18" t="s">
        <v>147</v>
      </c>
      <c r="C24" s="7">
        <f>IF(C23&gt;0,(37.5*C23+25)/0.03*C42,0)</f>
        <v>16.183337792197502</v>
      </c>
      <c r="D24" t="s">
        <v>28</v>
      </c>
      <c r="G24" s="12" t="s">
        <v>4</v>
      </c>
      <c r="I24" s="7">
        <f>CEILING((I21+I22)*3.2,10)</f>
        <v>320</v>
      </c>
      <c r="J24" t="s">
        <v>150</v>
      </c>
      <c r="N24" s="1" t="s">
        <v>159</v>
      </c>
      <c r="O24" s="7">
        <f>C52*(F52-F53)</f>
        <v>0</v>
      </c>
      <c r="P24" t="s">
        <v>28</v>
      </c>
    </row>
    <row r="25" spans="1:16" x14ac:dyDescent="0.25">
      <c r="A25" s="2" t="s">
        <v>133</v>
      </c>
      <c r="B25" s="18" t="s">
        <v>98</v>
      </c>
      <c r="C25" s="7">
        <f>E45-E44</f>
        <v>0.15</v>
      </c>
      <c r="D25" t="s">
        <v>50</v>
      </c>
      <c r="N25" s="1" t="s">
        <v>120</v>
      </c>
      <c r="O25" s="7">
        <f>C48*(F47-F48)</f>
        <v>26.480586471925815</v>
      </c>
      <c r="P25" t="s">
        <v>28</v>
      </c>
    </row>
    <row r="26" spans="1:16" x14ac:dyDescent="0.25">
      <c r="B26" t="s">
        <v>147</v>
      </c>
      <c r="C26" s="7">
        <f>C44*1/1.02*C25*100000/1000/0.72/0.95</f>
        <v>24.346676142255955</v>
      </c>
      <c r="D26" t="s">
        <v>28</v>
      </c>
      <c r="G26" s="2" t="s">
        <v>154</v>
      </c>
      <c r="O26" s="82">
        <f>SUM(O22:O25)</f>
        <v>59.461094808767569</v>
      </c>
      <c r="P26" s="1" t="s">
        <v>28</v>
      </c>
    </row>
    <row r="27" spans="1:16" x14ac:dyDescent="0.25">
      <c r="A27" s="2" t="s">
        <v>134</v>
      </c>
      <c r="B27" t="s">
        <v>149</v>
      </c>
      <c r="C27" s="7">
        <f>Fwater*0.001*(E50-E46)*100000/0.75/1000</f>
        <v>11.203342795529103</v>
      </c>
      <c r="D27" t="s">
        <v>28</v>
      </c>
      <c r="G27" t="s">
        <v>155</v>
      </c>
      <c r="I27">
        <v>3</v>
      </c>
      <c r="J27" t="s">
        <v>28</v>
      </c>
    </row>
    <row r="28" spans="1:16" x14ac:dyDescent="0.25">
      <c r="B28" t="s">
        <v>148</v>
      </c>
      <c r="C28" s="7">
        <f>-5/100*I59</f>
        <v>6.4871758091562572</v>
      </c>
      <c r="D28" t="s">
        <v>28</v>
      </c>
      <c r="G28" t="s">
        <v>156</v>
      </c>
      <c r="I28" s="83">
        <f>MAX(10,38/2000*B17/20*('DEMCOPEM system tool'!B14-20))</f>
        <v>10</v>
      </c>
      <c r="J28" t="s">
        <v>28</v>
      </c>
    </row>
    <row r="30" spans="1:16" x14ac:dyDescent="0.25">
      <c r="A30" s="2" t="s">
        <v>142</v>
      </c>
      <c r="B30" t="s">
        <v>143</v>
      </c>
      <c r="C30" s="7">
        <f>C22+C24+C26+C27+C28+I27+I28+I29</f>
        <v>88.017703083783076</v>
      </c>
      <c r="D30" t="s">
        <v>28</v>
      </c>
    </row>
    <row r="32" spans="1:16" x14ac:dyDescent="0.25">
      <c r="A32" s="2" t="s">
        <v>140</v>
      </c>
      <c r="B32" s="18" t="s">
        <v>141</v>
      </c>
      <c r="C32" s="80">
        <v>0.95</v>
      </c>
    </row>
    <row r="34" spans="1:24" s="5" customFormat="1" x14ac:dyDescent="0.25">
      <c r="A34" s="4" t="s">
        <v>12</v>
      </c>
    </row>
    <row r="35" spans="1:24" ht="15.75" thickBot="1" x14ac:dyDescent="0.3"/>
    <row r="36" spans="1:24" x14ac:dyDescent="0.25">
      <c r="C36" s="2" t="s">
        <v>20</v>
      </c>
      <c r="D36" s="2" t="s">
        <v>21</v>
      </c>
      <c r="E36" s="2" t="s">
        <v>22</v>
      </c>
      <c r="F36" s="2" t="s">
        <v>23</v>
      </c>
      <c r="I36" s="23" t="s">
        <v>101</v>
      </c>
      <c r="J36" s="24"/>
      <c r="K36" s="24"/>
      <c r="L36" s="25"/>
      <c r="N36" s="50" t="s">
        <v>108</v>
      </c>
      <c r="O36" s="42" t="s">
        <v>53</v>
      </c>
      <c r="P36" s="24"/>
      <c r="Q36" s="24"/>
      <c r="R36" s="25"/>
      <c r="S36" s="56" t="s">
        <v>85</v>
      </c>
      <c r="T36" s="56" t="s">
        <v>21</v>
      </c>
      <c r="U36" s="23" t="s">
        <v>103</v>
      </c>
      <c r="V36" s="24"/>
      <c r="W36" s="24"/>
      <c r="X36" s="25"/>
    </row>
    <row r="37" spans="1:24" ht="18" x14ac:dyDescent="0.35">
      <c r="B37" s="2" t="s">
        <v>75</v>
      </c>
      <c r="C37" s="1" t="s">
        <v>9</v>
      </c>
      <c r="D37" s="1" t="s">
        <v>8</v>
      </c>
      <c r="E37" s="1" t="s">
        <v>25</v>
      </c>
      <c r="F37" s="1" t="s">
        <v>24</v>
      </c>
      <c r="I37" s="26" t="s">
        <v>114</v>
      </c>
      <c r="J37" s="27" t="s">
        <v>115</v>
      </c>
      <c r="K37" s="27" t="s">
        <v>116</v>
      </c>
      <c r="L37" s="28" t="s">
        <v>117</v>
      </c>
      <c r="M37" s="1"/>
      <c r="N37" s="51"/>
      <c r="O37" s="26" t="s">
        <v>73</v>
      </c>
      <c r="P37" s="27" t="s">
        <v>79</v>
      </c>
      <c r="Q37" s="27" t="s">
        <v>78</v>
      </c>
      <c r="R37" s="28" t="s">
        <v>77</v>
      </c>
      <c r="S37" s="51" t="s">
        <v>102</v>
      </c>
      <c r="T37" s="51" t="s">
        <v>86</v>
      </c>
      <c r="U37" s="26" t="s">
        <v>73</v>
      </c>
      <c r="V37" s="27" t="s">
        <v>79</v>
      </c>
      <c r="W37" s="27" t="s">
        <v>78</v>
      </c>
      <c r="X37" s="28" t="s">
        <v>77</v>
      </c>
    </row>
    <row r="38" spans="1:24" x14ac:dyDescent="0.25">
      <c r="A38">
        <v>1</v>
      </c>
      <c r="B38" s="12" t="s">
        <v>76</v>
      </c>
      <c r="C38" s="16">
        <f t="shared" ref="C38:C48" si="0">SUMPRODUCT(O38:R38,$O$55:$R$55)</f>
        <v>1.6454371145773954E-2</v>
      </c>
      <c r="D38" s="15">
        <f>'DEMCOPEM system tool'!$B$14</f>
        <v>25</v>
      </c>
      <c r="E38" s="15">
        <f>'DEMCOPEM system tool'!B6/1000</f>
        <v>0.05</v>
      </c>
      <c r="F38" s="16">
        <f>SUMPRODUCT(I38:L38,U38:X38)</f>
        <v>3931.915</v>
      </c>
      <c r="G38" s="16"/>
      <c r="I38" s="29">
        <v>1</v>
      </c>
      <c r="J38" s="30">
        <v>0</v>
      </c>
      <c r="K38" s="31">
        <v>0</v>
      </c>
      <c r="L38" s="32">
        <v>0</v>
      </c>
      <c r="N38" s="52">
        <f>EXP((17.438)*D38/(239.78+D38)+6.4147)/100000/(1.01325+E38)</f>
        <v>2.9804541223242265E-2</v>
      </c>
      <c r="O38" s="43">
        <f>J14/1000</f>
        <v>8.1618904492926359E-3</v>
      </c>
      <c r="P38" s="44">
        <f t="shared" ref="P38" si="1">O38/I38*J38</f>
        <v>0</v>
      </c>
      <c r="Q38" s="45"/>
      <c r="R38" s="46"/>
      <c r="S38" s="57">
        <f t="shared" ref="S38:S54" si="2">SUMPRODUCT($O$55:$R$55,I38:L38)</f>
        <v>2.016</v>
      </c>
      <c r="T38" s="59">
        <f>D38+273.15</f>
        <v>298.14999999999998</v>
      </c>
      <c r="U38" s="61">
        <f>14.367*D38+3572.74</f>
        <v>3931.915</v>
      </c>
      <c r="V38" s="62">
        <f>4.18396*D38+0.279155</f>
        <v>104.87815500000001</v>
      </c>
      <c r="W38" s="62">
        <f>1.04166*D38+283.225</f>
        <v>309.26650000000001</v>
      </c>
      <c r="X38" s="63">
        <f>0.923448*D38+247.923</f>
        <v>271.00920000000002</v>
      </c>
    </row>
    <row r="39" spans="1:24" x14ac:dyDescent="0.25">
      <c r="A39">
        <v>2</v>
      </c>
      <c r="B39" s="12" t="s">
        <v>82</v>
      </c>
      <c r="C39" s="16">
        <f t="shared" si="0"/>
        <v>1.6454371145773954E-2</v>
      </c>
      <c r="D39" s="81">
        <f>D38</f>
        <v>25</v>
      </c>
      <c r="E39" s="15">
        <f>E41</f>
        <v>0.2</v>
      </c>
      <c r="F39" s="16">
        <f>SUMPRODUCT(I39:L39,U39:X39)</f>
        <v>3931.915</v>
      </c>
      <c r="G39" s="16"/>
      <c r="I39" s="33">
        <f>O39/SUM($O39:$R39)</f>
        <v>1</v>
      </c>
      <c r="J39" s="34">
        <f>P39/SUM($O39:$R39)</f>
        <v>0</v>
      </c>
      <c r="K39" s="31">
        <v>0</v>
      </c>
      <c r="L39" s="32">
        <v>0</v>
      </c>
      <c r="N39" s="52">
        <f>EXP((17.438)*D39/(239.78+D39)+6.4147)/100000/(1.01325+E39)</f>
        <v>2.6119660791767845E-2</v>
      </c>
      <c r="O39" s="43">
        <f>O38</f>
        <v>8.1618904492926359E-3</v>
      </c>
      <c r="P39" s="44">
        <f>P38</f>
        <v>0</v>
      </c>
      <c r="Q39" s="45"/>
      <c r="R39" s="46"/>
      <c r="S39" s="57">
        <f t="shared" si="2"/>
        <v>2.016</v>
      </c>
      <c r="T39" s="57">
        <f>D39+273.15</f>
        <v>298.14999999999998</v>
      </c>
      <c r="U39" s="61">
        <f>14.367*D39+3572.74</f>
        <v>3931.915</v>
      </c>
      <c r="V39" s="62">
        <f>4.18396*D39+0.279155</f>
        <v>104.87815500000001</v>
      </c>
      <c r="W39" s="62">
        <f>1.04166*D39+283.225</f>
        <v>309.26650000000001</v>
      </c>
      <c r="X39" s="63">
        <f>0.923448*D39+247.923</f>
        <v>271.00920000000002</v>
      </c>
    </row>
    <row r="40" spans="1:24" x14ac:dyDescent="0.25">
      <c r="A40">
        <v>3</v>
      </c>
      <c r="B40" s="13" t="s">
        <v>83</v>
      </c>
      <c r="C40" s="16">
        <f t="shared" si="0"/>
        <v>3.2115665783384442E-2</v>
      </c>
      <c r="D40" s="21">
        <f>(F40-(3572.74*I40+0.279155*J40))/(14.367*I40+4.18396*J40)</f>
        <v>25.935452756122157</v>
      </c>
      <c r="E40" s="15">
        <f>MIN(E43,E39)</f>
        <v>0.2</v>
      </c>
      <c r="F40" s="21">
        <f>D58/C40</f>
        <v>3718.5684046320066</v>
      </c>
      <c r="G40" s="16"/>
      <c r="I40" s="33">
        <f>O40/SUM($O40:$R40)</f>
        <v>0.94088816764171812</v>
      </c>
      <c r="J40" s="34">
        <f>P40/SUM($O40:$R40)</f>
        <v>5.9111832358281893E-2</v>
      </c>
      <c r="K40" s="31">
        <v>0</v>
      </c>
      <c r="L40" s="32">
        <v>0</v>
      </c>
      <c r="N40" s="52">
        <f>EXP((17.438)*MixInT/(239.78+MixInT)+6.4147)/100000/(1.01325+E40)</f>
        <v>2.7612885218289345E-2</v>
      </c>
      <c r="O40" s="43">
        <f>O38*B7</f>
        <v>1.0202363061615795E-2</v>
      </c>
      <c r="P40" s="44">
        <f>P38+P43</f>
        <v>6.4096924129479341E-4</v>
      </c>
      <c r="Q40" s="45"/>
      <c r="R40" s="46"/>
      <c r="S40" s="57">
        <f t="shared" si="2"/>
        <v>2.9617893177325101</v>
      </c>
      <c r="T40" s="57">
        <f>D40+273.15</f>
        <v>299.08545275612215</v>
      </c>
      <c r="U40" s="61">
        <f t="shared" ref="U40:U48" si="3">14.367*D40+3572.74</f>
        <v>3945.3546497472071</v>
      </c>
      <c r="V40" s="62">
        <f t="shared" ref="V40:V54" si="4">4.18396*D40+0.279155</f>
        <v>108.79205191350486</v>
      </c>
      <c r="W40" s="62">
        <f t="shared" ref="W40:W48" si="5">1.04166*D40+283.225</f>
        <v>310.24092371794222</v>
      </c>
      <c r="X40" s="63">
        <f t="shared" ref="X40:X48" si="6">0.923448*D40+247.923</f>
        <v>271.87304197673552</v>
      </c>
    </row>
    <row r="41" spans="1:24" x14ac:dyDescent="0.25">
      <c r="A41">
        <v>4</v>
      </c>
      <c r="B41" s="12" t="s">
        <v>74</v>
      </c>
      <c r="C41" s="16">
        <f t="shared" si="0"/>
        <v>5.3419650152222137E-2</v>
      </c>
      <c r="D41" s="19">
        <v>63</v>
      </c>
      <c r="E41" s="19">
        <v>0.2</v>
      </c>
      <c r="F41" s="16">
        <f>SUMPRODUCT(I41:L41,U41:X41)</f>
        <v>3838.8949775089382</v>
      </c>
      <c r="G41" s="16"/>
      <c r="I41" s="33">
        <f>1-J41</f>
        <v>0.84837038913546725</v>
      </c>
      <c r="J41" s="37">
        <f>B9*N41</f>
        <v>0.15162961086453275</v>
      </c>
      <c r="K41" s="31">
        <v>0</v>
      </c>
      <c r="L41" s="32">
        <v>0</v>
      </c>
      <c r="N41" s="52">
        <f t="shared" ref="N41:N46" si="7">EXP((17.438)*D41/(239.78+D41)+6.4147)/100000/(1.01325+E41)</f>
        <v>0.18953701358066591</v>
      </c>
      <c r="O41" s="47">
        <f>O40</f>
        <v>1.0202363061615795E-2</v>
      </c>
      <c r="P41" s="44">
        <f>O41/I41*J41</f>
        <v>1.8234728141654471E-3</v>
      </c>
      <c r="Q41" s="45"/>
      <c r="R41" s="46"/>
      <c r="S41" s="57">
        <f t="shared" si="2"/>
        <v>4.442073773832524</v>
      </c>
      <c r="T41" s="59">
        <f t="shared" ref="T41:T54" si="8">D41+273.15</f>
        <v>336.15</v>
      </c>
      <c r="U41" s="61">
        <f t="shared" si="3"/>
        <v>4477.8609999999999</v>
      </c>
      <c r="V41" s="62">
        <f t="shared" si="4"/>
        <v>263.86863499999998</v>
      </c>
      <c r="W41" s="62">
        <f t="shared" si="5"/>
        <v>348.84958000000006</v>
      </c>
      <c r="X41" s="63">
        <f t="shared" si="6"/>
        <v>306.10022400000003</v>
      </c>
    </row>
    <row r="42" spans="1:24" x14ac:dyDescent="0.25">
      <c r="A42">
        <v>5</v>
      </c>
      <c r="B42" s="12" t="s">
        <v>84</v>
      </c>
      <c r="C42" s="16">
        <f t="shared" si="0"/>
        <v>1.5661294637610484E-2</v>
      </c>
      <c r="D42" s="22">
        <f>D54</f>
        <v>65</v>
      </c>
      <c r="E42" s="15">
        <f>E41-(C65+C67)/1000</f>
        <v>4.0000000000000008E-2</v>
      </c>
      <c r="F42" s="16">
        <f t="shared" ref="F42:F54" si="9">SUMPRODUCT(I42:L42,U42:X42)</f>
        <v>3494.4180936837793</v>
      </c>
      <c r="G42" s="16"/>
      <c r="I42" s="33">
        <f>O42/SUM($O42:$R42)</f>
        <v>0.76096097686028075</v>
      </c>
      <c r="J42" s="34">
        <f>P42/SUM($O42:$R42)</f>
        <v>0.23903902313971925</v>
      </c>
      <c r="K42" s="31">
        <v>0</v>
      </c>
      <c r="L42" s="32">
        <v>0</v>
      </c>
      <c r="N42" s="52">
        <f t="shared" si="7"/>
        <v>0.23903902313971925</v>
      </c>
      <c r="O42" s="43">
        <f>O41-O38</f>
        <v>2.040472612323159E-3</v>
      </c>
      <c r="P42" s="44">
        <f>MIN(P41+0.02*O38,O42*N42/(1-N42))</f>
        <v>6.4096924129479341E-4</v>
      </c>
      <c r="Q42" s="45"/>
      <c r="R42" s="46"/>
      <c r="S42" s="57">
        <f t="shared" si="2"/>
        <v>5.8406243702355072</v>
      </c>
      <c r="T42" s="59">
        <f t="shared" si="8"/>
        <v>338.15</v>
      </c>
      <c r="U42" s="61">
        <f t="shared" si="3"/>
        <v>4506.5949999999993</v>
      </c>
      <c r="V42" s="62">
        <f t="shared" si="4"/>
        <v>272.23655500000001</v>
      </c>
      <c r="W42" s="62">
        <f t="shared" si="5"/>
        <v>350.93290000000002</v>
      </c>
      <c r="X42" s="63">
        <f t="shared" si="6"/>
        <v>307.94711999999998</v>
      </c>
    </row>
    <row r="43" spans="1:24" x14ac:dyDescent="0.25">
      <c r="A43">
        <v>6</v>
      </c>
      <c r="B43" s="12" t="s">
        <v>87</v>
      </c>
      <c r="C43" s="16">
        <f t="shared" si="0"/>
        <v>1.5661294637610484E-2</v>
      </c>
      <c r="D43" s="81">
        <f>D42</f>
        <v>65</v>
      </c>
      <c r="E43" s="81">
        <f>E42+C23</f>
        <v>0.2</v>
      </c>
      <c r="F43" s="16">
        <f t="shared" si="9"/>
        <v>3494.4180936837793</v>
      </c>
      <c r="G43" s="16"/>
      <c r="I43" s="33">
        <f>O43/SUM($O43:$R43)</f>
        <v>0.76096097686028075</v>
      </c>
      <c r="J43" s="34">
        <f>P43/SUM($O43:$R43)</f>
        <v>0.23903902313971925</v>
      </c>
      <c r="K43" s="31">
        <v>0</v>
      </c>
      <c r="L43" s="32">
        <v>0</v>
      </c>
      <c r="N43" s="52">
        <f t="shared" si="7"/>
        <v>0.20751522861892382</v>
      </c>
      <c r="O43" s="43">
        <f>O42</f>
        <v>2.040472612323159E-3</v>
      </c>
      <c r="P43" s="44">
        <f>P42</f>
        <v>6.4096924129479341E-4</v>
      </c>
      <c r="Q43" s="45"/>
      <c r="R43" s="46"/>
      <c r="S43" s="57">
        <f t="shared" si="2"/>
        <v>5.8406243702355072</v>
      </c>
      <c r="T43" s="59">
        <f t="shared" si="8"/>
        <v>338.15</v>
      </c>
      <c r="U43" s="61">
        <f t="shared" si="3"/>
        <v>4506.5949999999993</v>
      </c>
      <c r="V43" s="62">
        <f t="shared" si="4"/>
        <v>272.23655500000001</v>
      </c>
      <c r="W43" s="62">
        <f t="shared" si="5"/>
        <v>350.93290000000002</v>
      </c>
      <c r="X43" s="63">
        <f t="shared" si="6"/>
        <v>307.94711999999998</v>
      </c>
    </row>
    <row r="44" spans="1:24" x14ac:dyDescent="0.25">
      <c r="A44">
        <v>7</v>
      </c>
      <c r="B44" s="12" t="s">
        <v>88</v>
      </c>
      <c r="C44" s="16">
        <f t="shared" si="0"/>
        <v>1.1324126007286091</v>
      </c>
      <c r="D44" s="15">
        <f>D38</f>
        <v>25</v>
      </c>
      <c r="E44" s="15">
        <v>0</v>
      </c>
      <c r="F44" s="16">
        <f t="shared" si="9"/>
        <v>298.16194886002813</v>
      </c>
      <c r="G44" s="16"/>
      <c r="I44" s="38">
        <v>0</v>
      </c>
      <c r="J44" s="34">
        <f>0.5*N44</f>
        <v>1.5637640491296491E-2</v>
      </c>
      <c r="K44" s="34">
        <f>(1-J44)*0.79</f>
        <v>0.77764626401187587</v>
      </c>
      <c r="L44" s="39">
        <f>(1-J44)*0.21</f>
        <v>0.20671609549682773</v>
      </c>
      <c r="N44" s="52">
        <f t="shared" si="7"/>
        <v>3.1275280982592982E-2</v>
      </c>
      <c r="O44" s="48"/>
      <c r="P44" s="44">
        <f>$R$44/$L$44*J44</f>
        <v>6.1742995033177417E-4</v>
      </c>
      <c r="Q44" s="44">
        <f>$R$44/$L$44*K44</f>
        <v>3.070425454733897E-2</v>
      </c>
      <c r="R44" s="49">
        <f>0.5*O38*B8</f>
        <v>8.1618904492926359E-3</v>
      </c>
      <c r="S44" s="57">
        <f t="shared" si="2"/>
        <v>28.68059952143977</v>
      </c>
      <c r="T44" s="59">
        <f t="shared" si="8"/>
        <v>298.14999999999998</v>
      </c>
      <c r="U44" s="61">
        <f t="shared" si="3"/>
        <v>3931.915</v>
      </c>
      <c r="V44" s="62">
        <f t="shared" si="4"/>
        <v>104.87815500000001</v>
      </c>
      <c r="W44" s="62">
        <f t="shared" si="5"/>
        <v>309.26650000000001</v>
      </c>
      <c r="X44" s="63">
        <f t="shared" si="6"/>
        <v>271.00920000000002</v>
      </c>
    </row>
    <row r="45" spans="1:24" x14ac:dyDescent="0.25">
      <c r="A45">
        <v>8</v>
      </c>
      <c r="B45" s="12" t="s">
        <v>89</v>
      </c>
      <c r="C45" s="16">
        <f t="shared" si="0"/>
        <v>1.1324126007286091</v>
      </c>
      <c r="D45" s="81">
        <f>(273.15+D44)*(1+(((1.101325+E45)/1.101325)^(0.401/1.401)-1)/0.72)-273.15</f>
        <v>40.414250090029441</v>
      </c>
      <c r="E45" s="81">
        <f>E46</f>
        <v>0.15</v>
      </c>
      <c r="F45" s="16">
        <f t="shared" si="9"/>
        <v>312.11553096940213</v>
      </c>
      <c r="G45" s="16"/>
      <c r="I45" s="38">
        <v>0</v>
      </c>
      <c r="J45" s="34">
        <f>0.5*N45</f>
        <v>3.2471463713719638E-2</v>
      </c>
      <c r="K45" s="34">
        <f>(1-J45)*0.79</f>
        <v>0.76434754366616153</v>
      </c>
      <c r="L45" s="39">
        <f>(1-J45)*0.21</f>
        <v>0.20318099262011885</v>
      </c>
      <c r="N45" s="52">
        <f t="shared" si="7"/>
        <v>6.4942927427439276E-2</v>
      </c>
      <c r="O45" s="48"/>
      <c r="P45" s="44">
        <f>P44</f>
        <v>6.1742995033177417E-4</v>
      </c>
      <c r="Q45" s="44">
        <f t="shared" ref="Q45:R45" si="10">Q44</f>
        <v>3.070425454733897E-2</v>
      </c>
      <c r="R45" s="49">
        <f t="shared" si="10"/>
        <v>8.1618904492926359E-3</v>
      </c>
      <c r="S45" s="57">
        <f t="shared" si="2"/>
        <v>28.498221577639214</v>
      </c>
      <c r="T45" s="59">
        <f t="shared" si="8"/>
        <v>313.56425009002942</v>
      </c>
      <c r="U45" s="61">
        <f t="shared" si="3"/>
        <v>4153.3715310434527</v>
      </c>
      <c r="V45" s="62">
        <f t="shared" si="4"/>
        <v>169.37076080667958</v>
      </c>
      <c r="W45" s="62">
        <f t="shared" si="5"/>
        <v>325.3229077487801</v>
      </c>
      <c r="X45" s="63">
        <f t="shared" si="6"/>
        <v>285.2434584171375</v>
      </c>
    </row>
    <row r="46" spans="1:24" x14ac:dyDescent="0.25">
      <c r="A46">
        <v>9</v>
      </c>
      <c r="B46" s="12" t="s">
        <v>90</v>
      </c>
      <c r="C46" s="16">
        <f t="shared" si="0"/>
        <v>1.233784728822293</v>
      </c>
      <c r="D46" s="19">
        <v>63</v>
      </c>
      <c r="E46" s="19">
        <v>0.15</v>
      </c>
      <c r="F46" s="16">
        <f t="shared" si="9"/>
        <v>327.85246869669783</v>
      </c>
      <c r="G46" s="16"/>
      <c r="I46" s="38">
        <v>0</v>
      </c>
      <c r="J46" s="34">
        <f>B10*N46</f>
        <v>0.15814710971965987</v>
      </c>
      <c r="K46" s="34">
        <f>(1-J46)*0.79</f>
        <v>0.66506378332146876</v>
      </c>
      <c r="L46" s="39">
        <f>(1-J46)*0.21</f>
        <v>0.17678910695887143</v>
      </c>
      <c r="N46" s="52">
        <f t="shared" si="7"/>
        <v>0.19768388714957483</v>
      </c>
      <c r="O46" s="48"/>
      <c r="P46" s="44">
        <f t="shared" ref="P46" si="11">$R$44/$L$44*J46</f>
        <v>6.2442132592618309E-3</v>
      </c>
      <c r="Q46" s="44">
        <f>Q45</f>
        <v>3.070425454733897E-2</v>
      </c>
      <c r="R46" s="49">
        <f>R45</f>
        <v>8.1618904492926359E-3</v>
      </c>
      <c r="S46" s="57">
        <f t="shared" si="2"/>
        <v>27.13664936664923</v>
      </c>
      <c r="T46" s="59">
        <f t="shared" si="8"/>
        <v>336.15</v>
      </c>
      <c r="U46" s="61">
        <f t="shared" si="3"/>
        <v>4477.8609999999999</v>
      </c>
      <c r="V46" s="62">
        <f t="shared" si="4"/>
        <v>263.86863499999998</v>
      </c>
      <c r="W46" s="62">
        <f t="shared" si="5"/>
        <v>348.84958000000006</v>
      </c>
      <c r="X46" s="63">
        <f t="shared" si="6"/>
        <v>306.10022400000003</v>
      </c>
    </row>
    <row r="47" spans="1:24" x14ac:dyDescent="0.25">
      <c r="A47">
        <v>10</v>
      </c>
      <c r="B47" s="12" t="s">
        <v>91</v>
      </c>
      <c r="C47" s="16">
        <f t="shared" si="0"/>
        <v>1.187432429017252</v>
      </c>
      <c r="D47" s="22">
        <f>D54</f>
        <v>65</v>
      </c>
      <c r="E47" s="15">
        <f>E46-(C66/2+C68)/1000</f>
        <v>0.03</v>
      </c>
      <c r="F47" s="16">
        <f t="shared" si="9"/>
        <v>328.29284427682353</v>
      </c>
      <c r="G47" s="16"/>
      <c r="I47" s="38">
        <v>0</v>
      </c>
      <c r="J47" s="34">
        <f>P47/SUM($O47:$R47)</f>
        <v>0.23891701184825329</v>
      </c>
      <c r="K47" s="34">
        <f>Q47/SUM($O47:$R47)</f>
        <v>0.67179392250265912</v>
      </c>
      <c r="L47" s="39">
        <f>R47/SUM($O47:$R47)</f>
        <v>8.928906564908759E-2</v>
      </c>
      <c r="N47" s="52">
        <f>EXP((17.438)*D47/(239.78+D47)+6.4147)/100000/(1.01325+E47)*0.99</f>
        <v>0.23891701184825326</v>
      </c>
      <c r="O47" s="48"/>
      <c r="P47" s="44">
        <f>MIN(P46+0.98*O38,(Q47+R47)*N47/(1-N47))</f>
        <v>1.0919671199391258E-2</v>
      </c>
      <c r="Q47" s="44">
        <f>Q46</f>
        <v>3.070425454733897E-2</v>
      </c>
      <c r="R47" s="49">
        <f>R46-0.5*O38</f>
        <v>4.0809452246463179E-3</v>
      </c>
      <c r="S47" s="57">
        <f t="shared" si="2"/>
        <v>25.980434990417145</v>
      </c>
      <c r="T47" s="59">
        <f t="shared" si="8"/>
        <v>338.15</v>
      </c>
      <c r="U47" s="61">
        <f t="shared" si="3"/>
        <v>4506.5949999999993</v>
      </c>
      <c r="V47" s="62">
        <f t="shared" si="4"/>
        <v>272.23655500000001</v>
      </c>
      <c r="W47" s="62">
        <f t="shared" si="5"/>
        <v>350.93290000000002</v>
      </c>
      <c r="X47" s="63">
        <f t="shared" si="6"/>
        <v>307.94711999999998</v>
      </c>
    </row>
    <row r="48" spans="1:24" x14ac:dyDescent="0.25">
      <c r="A48">
        <v>11</v>
      </c>
      <c r="B48" s="12" t="s">
        <v>92</v>
      </c>
      <c r="C48" s="16">
        <f t="shared" si="0"/>
        <v>1.0178369867449015</v>
      </c>
      <c r="D48" s="15">
        <f>'DEMCOPEM system tool'!B13+15</f>
        <v>30</v>
      </c>
      <c r="E48" s="15">
        <f>E47-C66/2/1000</f>
        <v>9.9999999999999985E-3</v>
      </c>
      <c r="F48" s="16">
        <f t="shared" si="9"/>
        <v>302.27631430515078</v>
      </c>
      <c r="G48" s="16"/>
      <c r="I48" s="38">
        <v>0</v>
      </c>
      <c r="J48" s="34">
        <f>N48</f>
        <v>4.1499507910388693E-2</v>
      </c>
      <c r="K48" s="34">
        <f t="shared" ref="K48:L48" si="12">Q48/SUM($O48:$R48)</f>
        <v>0.84605071368803686</v>
      </c>
      <c r="L48" s="39">
        <f t="shared" si="12"/>
        <v>0.1124497784015745</v>
      </c>
      <c r="N48" s="52">
        <f>EXP((17.438)*D48/(239.78+D48)+6.4147)/100000/(1.01325+E48)</f>
        <v>4.1499507910388693E-2</v>
      </c>
      <c r="O48" s="48"/>
      <c r="P48" s="44">
        <f>(Q48+R48)/(1-J48)*J48</f>
        <v>1.5060698299224173E-3</v>
      </c>
      <c r="Q48" s="44">
        <f>Q47</f>
        <v>3.070425454733897E-2</v>
      </c>
      <c r="R48" s="49">
        <f>R47</f>
        <v>4.0809452246463179E-3</v>
      </c>
      <c r="S48" s="57">
        <f t="shared" si="2"/>
        <v>28.046331746172839</v>
      </c>
      <c r="T48" s="59">
        <f t="shared" si="8"/>
        <v>303.14999999999998</v>
      </c>
      <c r="U48" s="61">
        <f t="shared" si="3"/>
        <v>4003.75</v>
      </c>
      <c r="V48" s="62">
        <f t="shared" si="4"/>
        <v>125.797955</v>
      </c>
      <c r="W48" s="62">
        <f t="shared" si="5"/>
        <v>314.47480000000002</v>
      </c>
      <c r="X48" s="63">
        <f t="shared" si="6"/>
        <v>275.62644</v>
      </c>
    </row>
    <row r="49" spans="1:24" x14ac:dyDescent="0.25">
      <c r="A49">
        <v>12</v>
      </c>
      <c r="B49" s="12" t="s">
        <v>7</v>
      </c>
      <c r="C49" s="75">
        <f>((C41*F41+C46*F46+120*1000*O38*O55)-(C42*F42+C47*F47+B17+P58*R58+P59*R59))/(F54-F53)</f>
        <v>45.418957279172034</v>
      </c>
      <c r="D49" s="15">
        <f>D46</f>
        <v>63</v>
      </c>
      <c r="E49" s="15">
        <f t="shared" ref="E49" si="13">E48</f>
        <v>9.9999999999999985E-3</v>
      </c>
      <c r="F49" s="16">
        <f t="shared" si="9"/>
        <v>263.86863499999998</v>
      </c>
      <c r="G49" s="16"/>
      <c r="I49" s="38"/>
      <c r="J49" s="40">
        <v>1</v>
      </c>
      <c r="K49" s="35"/>
      <c r="L49" s="36"/>
      <c r="N49" s="70"/>
      <c r="O49" s="48"/>
      <c r="P49" s="45"/>
      <c r="Q49" s="45"/>
      <c r="R49" s="46"/>
      <c r="S49" s="57">
        <f t="shared" si="2"/>
        <v>18.015999999999998</v>
      </c>
      <c r="T49" s="59">
        <f t="shared" si="8"/>
        <v>336.15</v>
      </c>
      <c r="U49" s="61"/>
      <c r="V49" s="62">
        <f>4.18396*D49+0.279155</f>
        <v>263.86863499999998</v>
      </c>
      <c r="W49" s="62"/>
      <c r="X49" s="63"/>
    </row>
    <row r="50" spans="1:24" x14ac:dyDescent="0.25">
      <c r="A50">
        <v>13</v>
      </c>
      <c r="B50" s="12" t="s">
        <v>93</v>
      </c>
      <c r="C50" s="16">
        <f>C49</f>
        <v>45.418957279172034</v>
      </c>
      <c r="D50" s="15">
        <f>D49</f>
        <v>63</v>
      </c>
      <c r="E50" s="19">
        <v>2</v>
      </c>
      <c r="F50" s="16">
        <f t="shared" si="9"/>
        <v>263.86863499999998</v>
      </c>
      <c r="G50" s="16"/>
      <c r="I50" s="38"/>
      <c r="J50" s="40">
        <v>1</v>
      </c>
      <c r="K50" s="35"/>
      <c r="L50" s="36"/>
      <c r="N50" s="70"/>
      <c r="O50" s="48"/>
      <c r="P50" s="45"/>
      <c r="Q50" s="45"/>
      <c r="R50" s="46"/>
      <c r="S50" s="57">
        <f t="shared" si="2"/>
        <v>18.015999999999998</v>
      </c>
      <c r="T50" s="59">
        <f t="shared" si="8"/>
        <v>336.15</v>
      </c>
      <c r="U50" s="61"/>
      <c r="V50" s="62">
        <f t="shared" si="4"/>
        <v>263.86863499999998</v>
      </c>
      <c r="W50" s="62"/>
      <c r="X50" s="63"/>
    </row>
    <row r="51" spans="1:24" x14ac:dyDescent="0.25">
      <c r="A51">
        <v>14</v>
      </c>
      <c r="B51" s="12" t="s">
        <v>112</v>
      </c>
      <c r="C51" s="16">
        <f>C50</f>
        <v>45.418957279172034</v>
      </c>
      <c r="D51" s="15">
        <f>D50+I59/C51/4.186</f>
        <v>62.317583875477865</v>
      </c>
      <c r="E51" s="15">
        <f>E50-F65/1000</f>
        <v>1.528</v>
      </c>
      <c r="F51" s="16">
        <f t="shared" si="9"/>
        <v>261.01343323164434</v>
      </c>
      <c r="G51" s="16"/>
      <c r="I51" s="38"/>
      <c r="J51" s="40">
        <v>1</v>
      </c>
      <c r="K51" s="35"/>
      <c r="L51" s="36"/>
      <c r="N51" s="70"/>
      <c r="O51" s="48"/>
      <c r="P51" s="45"/>
      <c r="Q51" s="45"/>
      <c r="R51" s="46"/>
      <c r="S51" s="57">
        <f t="shared" si="2"/>
        <v>18.015999999999998</v>
      </c>
      <c r="T51" s="59">
        <f t="shared" ref="T51" si="14">D51+273.15</f>
        <v>335.46758387547783</v>
      </c>
      <c r="U51" s="61"/>
      <c r="V51" s="62">
        <f t="shared" si="4"/>
        <v>261.01343323164434</v>
      </c>
      <c r="W51" s="62"/>
      <c r="X51" s="63"/>
    </row>
    <row r="52" spans="1:24" x14ac:dyDescent="0.25">
      <c r="A52">
        <v>15</v>
      </c>
      <c r="B52" s="12" t="s">
        <v>94</v>
      </c>
      <c r="C52" s="16">
        <f t="shared" ref="C52:C54" si="15">C51</f>
        <v>45.418957279172034</v>
      </c>
      <c r="D52" s="15">
        <f>MAX(D53,D51-'DEMCOPEM system tool'!B10/4.186/C52)</f>
        <v>60</v>
      </c>
      <c r="E52" s="15">
        <f>E51-F66/1000</f>
        <v>1.171</v>
      </c>
      <c r="F52" s="16">
        <f t="shared" si="9"/>
        <v>251.316755</v>
      </c>
      <c r="G52" s="16"/>
      <c r="I52" s="38"/>
      <c r="J52" s="40">
        <v>1</v>
      </c>
      <c r="K52" s="35"/>
      <c r="L52" s="36"/>
      <c r="N52" s="70"/>
      <c r="O52" s="48"/>
      <c r="P52" s="45"/>
      <c r="Q52" s="45"/>
      <c r="R52" s="46"/>
      <c r="S52" s="57">
        <f t="shared" si="2"/>
        <v>18.015999999999998</v>
      </c>
      <c r="T52" s="59">
        <f t="shared" si="8"/>
        <v>333.15</v>
      </c>
      <c r="U52" s="61"/>
      <c r="V52" s="62">
        <f t="shared" si="4"/>
        <v>251.316755</v>
      </c>
      <c r="W52" s="62"/>
      <c r="X52" s="63"/>
    </row>
    <row r="53" spans="1:24" x14ac:dyDescent="0.25">
      <c r="A53">
        <v>16</v>
      </c>
      <c r="B53" s="12" t="s">
        <v>95</v>
      </c>
      <c r="C53" s="16">
        <f t="shared" si="15"/>
        <v>45.418957279172034</v>
      </c>
      <c r="D53" s="19">
        <v>60</v>
      </c>
      <c r="E53" s="15">
        <f>E52-F67/1000</f>
        <v>0.81</v>
      </c>
      <c r="F53" s="16">
        <f t="shared" si="9"/>
        <v>251.316755</v>
      </c>
      <c r="G53" s="16"/>
      <c r="I53" s="38"/>
      <c r="J53" s="40">
        <v>1</v>
      </c>
      <c r="K53" s="35"/>
      <c r="L53" s="36"/>
      <c r="N53" s="70"/>
      <c r="O53" s="48"/>
      <c r="P53" s="45"/>
      <c r="Q53" s="45"/>
      <c r="R53" s="46"/>
      <c r="S53" s="57">
        <f t="shared" si="2"/>
        <v>18.015999999999998</v>
      </c>
      <c r="T53" s="59">
        <f t="shared" si="8"/>
        <v>333.15</v>
      </c>
      <c r="U53" s="61"/>
      <c r="V53" s="62">
        <f t="shared" si="4"/>
        <v>251.316755</v>
      </c>
      <c r="W53" s="62"/>
      <c r="X53" s="63"/>
    </row>
    <row r="54" spans="1:24" ht="15.75" thickBot="1" x14ac:dyDescent="0.3">
      <c r="A54">
        <v>17</v>
      </c>
      <c r="B54" s="12" t="s">
        <v>96</v>
      </c>
      <c r="C54" s="16">
        <f t="shared" si="15"/>
        <v>45.418957279172034</v>
      </c>
      <c r="D54" s="19">
        <v>65</v>
      </c>
      <c r="E54" s="15">
        <f>E53-C69/1000</f>
        <v>0.21000000000000008</v>
      </c>
      <c r="F54" s="16">
        <f t="shared" si="9"/>
        <v>272.23655500000001</v>
      </c>
      <c r="G54" s="16"/>
      <c r="I54" s="67"/>
      <c r="J54" s="41">
        <v>1</v>
      </c>
      <c r="K54" s="68"/>
      <c r="L54" s="69"/>
      <c r="N54" s="71"/>
      <c r="O54" s="72"/>
      <c r="P54" s="73"/>
      <c r="Q54" s="73"/>
      <c r="R54" s="74"/>
      <c r="S54" s="58">
        <f t="shared" si="2"/>
        <v>18.015999999999998</v>
      </c>
      <c r="T54" s="60">
        <f t="shared" si="8"/>
        <v>338.15</v>
      </c>
      <c r="U54" s="64"/>
      <c r="V54" s="65">
        <f t="shared" si="4"/>
        <v>272.23655500000001</v>
      </c>
      <c r="W54" s="65"/>
      <c r="X54" s="66"/>
    </row>
    <row r="55" spans="1:24" ht="15.75" thickBot="1" x14ac:dyDescent="0.3">
      <c r="F55" s="12"/>
      <c r="K55" s="17"/>
      <c r="N55" s="53" t="s">
        <v>85</v>
      </c>
      <c r="O55" s="54">
        <v>2.016</v>
      </c>
      <c r="P55" s="54">
        <v>18.015999999999998</v>
      </c>
      <c r="Q55" s="54">
        <v>28.013000000000002</v>
      </c>
      <c r="R55" s="55">
        <v>31.998799999999999</v>
      </c>
    </row>
    <row r="56" spans="1:24" x14ac:dyDescent="0.25">
      <c r="E56" s="20"/>
      <c r="F56" s="20"/>
      <c r="K56" s="76"/>
      <c r="U56" s="79"/>
      <c r="W56" s="14"/>
    </row>
    <row r="57" spans="1:24" x14ac:dyDescent="0.25">
      <c r="I57" t="s">
        <v>118</v>
      </c>
      <c r="P57" t="s">
        <v>121</v>
      </c>
      <c r="R57" t="s">
        <v>23</v>
      </c>
      <c r="U57" s="79"/>
      <c r="W57" s="14"/>
    </row>
    <row r="58" spans="1:24" x14ac:dyDescent="0.25">
      <c r="A58" s="2" t="s">
        <v>104</v>
      </c>
      <c r="B58" s="77" t="s">
        <v>107</v>
      </c>
      <c r="C58" t="s">
        <v>105</v>
      </c>
      <c r="D58" s="7">
        <f>F39*C39+F43*C43</f>
        <v>119.42430007581461</v>
      </c>
      <c r="E58" t="s">
        <v>106</v>
      </c>
      <c r="F58" s="7">
        <f>F40*C40</f>
        <v>119.42430007581461</v>
      </c>
      <c r="G58" s="1" t="s">
        <v>129</v>
      </c>
      <c r="H58" t="s">
        <v>36</v>
      </c>
      <c r="I58" s="14">
        <f>D58-F58</f>
        <v>0</v>
      </c>
      <c r="J58" t="s">
        <v>28</v>
      </c>
      <c r="N58" s="2" t="s">
        <v>109</v>
      </c>
      <c r="O58" t="s">
        <v>110</v>
      </c>
      <c r="P58" s="20">
        <f>((P41+0.02*O38)-(O42*N42/(1-N42)))*P55</f>
        <v>2.4244876735526812E-2</v>
      </c>
      <c r="Q58" t="s">
        <v>9</v>
      </c>
      <c r="R58" s="7">
        <f>4.18396*D42+0.279155</f>
        <v>272.23655500000001</v>
      </c>
      <c r="S58" t="s">
        <v>24</v>
      </c>
      <c r="U58" s="79"/>
      <c r="W58" s="14"/>
    </row>
    <row r="59" spans="1:24" x14ac:dyDescent="0.25">
      <c r="B59" s="77" t="s">
        <v>111</v>
      </c>
      <c r="C59" t="s">
        <v>105</v>
      </c>
      <c r="D59" s="7">
        <f>C39*F39+P63*R63</f>
        <v>75.328910486525018</v>
      </c>
      <c r="E59" t="s">
        <v>106</v>
      </c>
      <c r="F59" s="7">
        <f>C41*F41</f>
        <v>205.07242666965016</v>
      </c>
      <c r="G59" s="1"/>
      <c r="I59" s="78">
        <f>D59-F59</f>
        <v>-129.74351618312514</v>
      </c>
      <c r="J59" t="s">
        <v>28</v>
      </c>
      <c r="O59" t="s">
        <v>119</v>
      </c>
      <c r="P59" s="20">
        <f>((P46+0.98*O38)-((Q47+R47)*N47/(1-N47)))*P55</f>
        <v>5.9870675718395258E-2</v>
      </c>
      <c r="Q59" t="s">
        <v>9</v>
      </c>
      <c r="R59" s="7">
        <f>4.18396*D47+0.279155</f>
        <v>272.23655500000001</v>
      </c>
      <c r="S59" t="s">
        <v>24</v>
      </c>
      <c r="U59" s="79"/>
      <c r="W59" s="14"/>
    </row>
    <row r="60" spans="1:24" x14ac:dyDescent="0.25">
      <c r="B60" s="77" t="s">
        <v>113</v>
      </c>
      <c r="C60" t="s">
        <v>105</v>
      </c>
      <c r="D60" s="7">
        <f>C41*F41+C46*F46+C53*F53+120*1000*O38*O55</f>
        <v>13998.641292232343</v>
      </c>
      <c r="E60" t="s">
        <v>106</v>
      </c>
      <c r="F60" s="7">
        <f>C42*F42+C47*F47+C54*F54+B17+P58*R58+P59*R59</f>
        <v>13998.641292232345</v>
      </c>
      <c r="G60" s="1" t="s">
        <v>124</v>
      </c>
      <c r="H60" t="s">
        <v>36</v>
      </c>
      <c r="I60" s="14">
        <f>D60-F60</f>
        <v>0</v>
      </c>
      <c r="J60" t="s">
        <v>28</v>
      </c>
      <c r="O60" t="s">
        <v>120</v>
      </c>
      <c r="P60" s="20">
        <f>(P47-P48)*P55</f>
        <v>0.1695954422723506</v>
      </c>
      <c r="Q60" t="s">
        <v>9</v>
      </c>
      <c r="R60" s="7">
        <f>4.18396*D48+0.279155</f>
        <v>125.797955</v>
      </c>
      <c r="S60" t="s">
        <v>24</v>
      </c>
      <c r="U60" s="79"/>
      <c r="W60" s="14"/>
    </row>
    <row r="61" spans="1:24" x14ac:dyDescent="0.25">
      <c r="G61" s="1"/>
      <c r="P61" s="20"/>
      <c r="R61" s="7"/>
      <c r="U61" s="79"/>
      <c r="W61" s="14"/>
    </row>
    <row r="62" spans="1:24" x14ac:dyDescent="0.25">
      <c r="A62" s="2" t="s">
        <v>122</v>
      </c>
      <c r="B62" s="14">
        <f>C38+C44+P62+P63-C48-P58-P59-P60</f>
        <v>1.154280471689742E-2</v>
      </c>
      <c r="C62" t="s">
        <v>125</v>
      </c>
      <c r="I62" s="18"/>
      <c r="N62" s="2" t="s">
        <v>123</v>
      </c>
      <c r="O62" t="s">
        <v>74</v>
      </c>
      <c r="P62" s="20">
        <f>(P41-P39)*P55</f>
        <v>3.2851686220004693E-2</v>
      </c>
      <c r="Q62" t="s">
        <v>9</v>
      </c>
      <c r="R62" s="7">
        <f>4.18396*D38+0.279155</f>
        <v>104.87815500000001</v>
      </c>
      <c r="S62" t="s">
        <v>24</v>
      </c>
      <c r="U62" s="79"/>
      <c r="W62" s="14"/>
    </row>
    <row r="63" spans="1:24" x14ac:dyDescent="0.25">
      <c r="B63" s="14">
        <f>C41-C42+C46-C47-P58-P59</f>
        <v>-4.8971342693979181E-6</v>
      </c>
      <c r="C63" t="s">
        <v>126</v>
      </c>
      <c r="O63" t="s">
        <v>90</v>
      </c>
      <c r="P63" s="20">
        <f>(P46-P45)*P55</f>
        <v>0.10137212809368389</v>
      </c>
      <c r="Q63" t="s">
        <v>9</v>
      </c>
      <c r="R63" s="7">
        <f>4.18396*D38+0.279155</f>
        <v>104.87815500000001</v>
      </c>
      <c r="S63" t="s">
        <v>24</v>
      </c>
      <c r="U63" s="79"/>
      <c r="W63" s="14"/>
    </row>
    <row r="64" spans="1:24" x14ac:dyDescent="0.25">
      <c r="G64" s="20"/>
      <c r="I64" s="20"/>
      <c r="U64" s="79"/>
      <c r="W64" s="14"/>
    </row>
    <row r="65" spans="1:23" x14ac:dyDescent="0.25">
      <c r="A65" s="2" t="s">
        <v>136</v>
      </c>
      <c r="B65" t="s">
        <v>137</v>
      </c>
      <c r="C65">
        <v>120</v>
      </c>
      <c r="D65" t="s">
        <v>81</v>
      </c>
      <c r="E65" t="s">
        <v>146</v>
      </c>
      <c r="F65">
        <v>472</v>
      </c>
      <c r="G65" s="20" t="s">
        <v>81</v>
      </c>
      <c r="I65" s="20"/>
      <c r="O65" t="s">
        <v>127</v>
      </c>
      <c r="P65" s="20">
        <f>SUM(P58:P60)-SUM(P62:P63)</f>
        <v>0.1194871804125841</v>
      </c>
      <c r="Q65" t="s">
        <v>9</v>
      </c>
      <c r="U65" s="79"/>
      <c r="W65" s="14"/>
    </row>
    <row r="66" spans="1:23" x14ac:dyDescent="0.25">
      <c r="B66" t="s">
        <v>138</v>
      </c>
      <c r="C66">
        <v>40</v>
      </c>
      <c r="D66" t="s">
        <v>81</v>
      </c>
      <c r="F66">
        <v>357</v>
      </c>
      <c r="G66" s="20" t="s">
        <v>81</v>
      </c>
      <c r="I66" s="20"/>
      <c r="U66" s="79"/>
      <c r="W66" s="14"/>
    </row>
    <row r="67" spans="1:23" x14ac:dyDescent="0.25">
      <c r="B67" t="s">
        <v>144</v>
      </c>
      <c r="C67">
        <v>40</v>
      </c>
      <c r="D67" t="s">
        <v>81</v>
      </c>
      <c r="F67">
        <v>361</v>
      </c>
      <c r="G67" s="20" t="s">
        <v>81</v>
      </c>
      <c r="I67" s="20"/>
      <c r="U67" s="79"/>
      <c r="W67" s="14"/>
    </row>
    <row r="68" spans="1:23" x14ac:dyDescent="0.25">
      <c r="B68" t="s">
        <v>145</v>
      </c>
      <c r="C68">
        <v>100</v>
      </c>
      <c r="D68" t="s">
        <v>81</v>
      </c>
      <c r="G68" s="20"/>
      <c r="I68" s="20"/>
      <c r="U68" s="79"/>
      <c r="W68" s="14"/>
    </row>
    <row r="69" spans="1:23" x14ac:dyDescent="0.25">
      <c r="B69" t="s">
        <v>139</v>
      </c>
      <c r="C69">
        <v>600</v>
      </c>
      <c r="D69" t="s">
        <v>81</v>
      </c>
      <c r="G69" s="20"/>
      <c r="I69" s="20"/>
      <c r="U69" s="79"/>
      <c r="W69" s="14"/>
    </row>
    <row r="70" spans="1:23" x14ac:dyDescent="0.25">
      <c r="G70" s="20"/>
      <c r="I70" s="20"/>
    </row>
    <row r="71" spans="1:23" x14ac:dyDescent="0.25">
      <c r="G71" s="20"/>
      <c r="I71" s="20"/>
    </row>
    <row r="72" spans="1:23" x14ac:dyDescent="0.25">
      <c r="I72" s="20"/>
    </row>
    <row r="73" spans="1:23" x14ac:dyDescent="0.25">
      <c r="J73" s="20"/>
    </row>
    <row r="74" spans="1:23" x14ac:dyDescent="0.25">
      <c r="J74" s="20"/>
    </row>
    <row r="75" spans="1:23" x14ac:dyDescent="0.25">
      <c r="J75" s="20"/>
    </row>
    <row r="76" spans="1:23" x14ac:dyDescent="0.25">
      <c r="J76" s="20"/>
    </row>
    <row r="77" spans="1:23" x14ac:dyDescent="0.25">
      <c r="J77" s="20"/>
    </row>
    <row r="78" spans="1:23" x14ac:dyDescent="0.25">
      <c r="J78" s="20"/>
    </row>
    <row r="79" spans="1:23" x14ac:dyDescent="0.25">
      <c r="J79" s="20"/>
    </row>
    <row r="80" spans="1:23" x14ac:dyDescent="0.25">
      <c r="J80" s="20"/>
    </row>
    <row r="81" spans="10:10" x14ac:dyDescent="0.25">
      <c r="J81" s="20"/>
    </row>
    <row r="82" spans="10:10" x14ac:dyDescent="0.25">
      <c r="J82" s="20"/>
    </row>
    <row r="83" spans="10:10" x14ac:dyDescent="0.25">
      <c r="J83" s="20"/>
    </row>
    <row r="84" spans="10:10" x14ac:dyDescent="0.25">
      <c r="J84" s="20"/>
    </row>
    <row r="85" spans="10:10" x14ac:dyDescent="0.25">
      <c r="J85" s="20"/>
    </row>
    <row r="86" spans="10:10" x14ac:dyDescent="0.25">
      <c r="J86" s="20"/>
    </row>
    <row r="87" spans="10:10" x14ac:dyDescent="0.25">
      <c r="J87" s="20"/>
    </row>
    <row r="88" spans="10:10" x14ac:dyDescent="0.25">
      <c r="J88" s="20"/>
    </row>
    <row r="89" spans="10:10" x14ac:dyDescent="0.25">
      <c r="J89" s="20"/>
    </row>
    <row r="90" spans="10:10" x14ac:dyDescent="0.25">
      <c r="J90" s="20"/>
    </row>
    <row r="91" spans="10:10" x14ac:dyDescent="0.25">
      <c r="J91" s="20"/>
    </row>
    <row r="92" spans="10:10" x14ac:dyDescent="0.25">
      <c r="J92" s="20"/>
    </row>
    <row r="93" spans="10:10" x14ac:dyDescent="0.25">
      <c r="J93" s="20"/>
    </row>
    <row r="94" spans="10:10" x14ac:dyDescent="0.25">
      <c r="J94" s="20"/>
    </row>
    <row r="95" spans="10:10" x14ac:dyDescent="0.25">
      <c r="J95" s="20"/>
    </row>
    <row r="96" spans="10:10" x14ac:dyDescent="0.25">
      <c r="J96" s="20"/>
    </row>
    <row r="97" spans="10:10" x14ac:dyDescent="0.25">
      <c r="J97" s="20"/>
    </row>
    <row r="98" spans="10:10" x14ac:dyDescent="0.25">
      <c r="J98" s="20"/>
    </row>
  </sheetData>
  <sheetProtection algorithmName="SHA-512" hashValue="WZ9IIiYVKqQa8C51AY+lRsy3mI9I8q14XaTJR7nMjrvSVNSFPLWQ/KghnA7VyH5n6ew85/9rDpimt/uoovWo9Q==" saltValue="VoYlGKCUOJNLI6KYgRPskg=="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DEMCOPEM system tool</vt:lpstr>
      <vt:lpstr>Calculator</vt:lpstr>
      <vt:lpstr>BalCool</vt:lpstr>
      <vt:lpstr>BalMix</vt:lpstr>
      <vt:lpstr>Fwater</vt:lpstr>
      <vt:lpstr>MixInT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2017-05-26T11:12:06Z</dcterms:modified>
</cp:coreProperties>
</file>